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ttings" sheetId="2" state="visible" r:id="rId4"/>
    <sheet name="Open POs" sheetId="3" state="visible" r:id="rId5"/>
    <sheet name="Dashboard" sheetId="4" state="visible" r:id="rId6"/>
    <sheet name="Supplier scorecard" sheetId="5" state="visible" r:id="rId7"/>
    <sheet name="Follow-up templates" sheetId="6" state="visible" r:id="rId8"/>
  </sheets>
  <definedNames>
    <definedName function="false" hidden="true" localSheetId="2" name="_xlnm._FilterDatabase" vbProcedure="false">'Open POs'!$A$4:$V$204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4" authorId="0">
      <text>
        <r>
          <rPr>
            <sz val="10"/>
            <rFont val="Arial"/>
            <family val="2"/>
          </rPr>
          <t xml:space="preserve">Pick from the list: Confirmed, In production, Ready to ship, Shipped, Delayed, Received.</t>
        </r>
      </text>
    </comment>
    <comment ref="U4" authorId="0">
      <text>
        <r>
          <rPr>
            <sz val="10"/>
            <rFont val="Arial"/>
            <family val="2"/>
          </rPr>
          <t xml:space="preserve">Compares when your stock runs out (today + days of cover) with the promised ETA. Needs columns M and N.</t>
        </r>
      </text>
    </comment>
  </commentList>
</comments>
</file>

<file path=xl/sharedStrings.xml><?xml version="1.0" encoding="utf-8"?>
<sst xmlns="http://schemas.openxmlformats.org/spreadsheetml/2006/main" count="200" uniqueCount="158">
  <si>
    <t xml:space="preserve">Open PO Health Check</t>
  </si>
  <si>
    <t xml:space="preserve">Find late, stuck and at-risk purchase orders in about 10 minutes.</t>
  </si>
  <si>
    <t xml:space="preserve">How to use it</t>
  </si>
  <si>
    <t xml:space="preserve">1. Settings</t>
  </si>
  <si>
    <t xml:space="preserve">Today's date fills itself in. Change the at-risk window or the 'stale' threshold if your lead times are unusual.</t>
  </si>
  <si>
    <t xml:space="preserve">2. Open POs</t>
  </si>
  <si>
    <t xml:space="preserve">Delete the 12 sample rows (rows 5 to 16), then paste one row per open PO line (one SKU per row). Fill the cream-coloured columns A to N. The grey columns O to V calculate themselves.</t>
  </si>
  <si>
    <t xml:space="preserve">3. Dashboard</t>
  </si>
  <si>
    <t xml:space="preserve">Updates automatically: how many lines are late, overdue to ship, at risk or silent, and how much money is tied up in them.</t>
  </si>
  <si>
    <t xml:space="preserve">4. Supplier scorecard</t>
  </si>
  <si>
    <t xml:space="preserve">Type your supplier names in column A exactly as they appear in Open POs. Each supplier's late lines and longest silence fill in.</t>
  </si>
  <si>
    <t xml:space="preserve">5. Follow-up templates</t>
  </si>
  <si>
    <t xml:space="preserve">Copy the message that matches the line's Health, fill the {brackets}, and send. Each comes in English and Simplified Chinese.</t>
  </si>
  <si>
    <t xml:space="preserve">Colour legend</t>
  </si>
  <si>
    <t xml:space="preserve">Cream cells</t>
  </si>
  <si>
    <t xml:space="preserve">You type here.</t>
  </si>
  <si>
    <t xml:space="preserve">Grey cells</t>
  </si>
  <si>
    <t xml:space="preserve">Formulas. Don't type over them; copy them down if you add more than 200 lines.</t>
  </si>
  <si>
    <t xml:space="preserve">What each Health label means</t>
  </si>
  <si>
    <t xml:space="preserve">Late</t>
  </si>
  <si>
    <t xml:space="preserve">The promised arrival date (ETA) has passed and the line isn't received.</t>
  </si>
  <si>
    <t xml:space="preserve">Ship overdue</t>
  </si>
  <si>
    <t xml:space="preserve">The promised ship date has passed and the status isn't Shipped yet.</t>
  </si>
  <si>
    <t xml:space="preserve">At risk</t>
  </si>
  <si>
    <t xml:space="preserve">Status is Delayed, or the ETA is within the at-risk window and it hasn't shipped.</t>
  </si>
  <si>
    <t xml:space="preserve">Stale</t>
  </si>
  <si>
    <t xml:space="preserve">No update from the supplier for longer than the stale threshold.</t>
  </si>
  <si>
    <t xml:space="preserve">On track</t>
  </si>
  <si>
    <t xml:space="preserve">None of the above.</t>
  </si>
  <si>
    <t xml:space="preserve">Closed</t>
  </si>
  <si>
    <t xml:space="preserve">Status is Received, or everything ordered has been received.</t>
  </si>
  <si>
    <t xml:space="preserve">Stockout column</t>
  </si>
  <si>
    <t xml:space="preserve">If you add units on hand and average daily sales, column U warns when your stock runs out before the promised ETA, and by how many days.</t>
  </si>
  <si>
    <t xml:space="preserve">Made by Ordersmithy  |  ordersmithy.com  |  hello@ordersmithy.com</t>
  </si>
  <si>
    <t xml:space="preserve">Settings</t>
  </si>
  <si>
    <t xml:space="preserve">Change the cream cells if you need to. Every other sheet reads from here.</t>
  </si>
  <si>
    <t xml:space="preserve">Setting</t>
  </si>
  <si>
    <t xml:space="preserve">Value</t>
  </si>
  <si>
    <t xml:space="preserve">Notes</t>
  </si>
  <si>
    <t xml:space="preserve">Today's date</t>
  </si>
  <si>
    <t xml:space="preserve">Updates itself. Type a fixed date here to check the sheet as of another day.</t>
  </si>
  <si>
    <t xml:space="preserve">At-risk window (days before ETA)</t>
  </si>
  <si>
    <t xml:space="preserve">Lines arriving within this many days that haven't shipped are flagged At risk. Default 10 days; raise it for long sea freight.</t>
  </si>
  <si>
    <t xml:space="preserve">Stale after (days without a supplier update)</t>
  </si>
  <si>
    <t xml:space="preserve">Open lines with no supplier update for longer than this are flagged Stale. Default 7 days.</t>
  </si>
  <si>
    <t xml:space="preserve">Open POs</t>
  </si>
  <si>
    <t xml:space="preserve">One row per PO line. Cream columns (A to N) are yours to fill. Grey columns (O to V) calculate. Rows 5 to 16 are samples: delete them before adding your own.</t>
  </si>
  <si>
    <t xml:space="preserve">YOU TYPE</t>
  </si>
  <si>
    <t xml:space="preserve">CALCULATED</t>
  </si>
  <si>
    <t xml:space="preserve">PO #</t>
  </si>
  <si>
    <t xml:space="preserve">Supplier</t>
  </si>
  <si>
    <t xml:space="preserve">Item / SKU</t>
  </si>
  <si>
    <t xml:space="preserve">Channel</t>
  </si>
  <si>
    <t xml:space="preserve">Qty ordered</t>
  </si>
  <si>
    <t xml:space="preserve">Qty received</t>
  </si>
  <si>
    <t xml:space="preserve">Order date</t>
  </si>
  <si>
    <t xml:space="preserve">Promised ship date</t>
  </si>
  <si>
    <t xml:space="preserve">Promised arrival (ETA)</t>
  </si>
  <si>
    <t xml:space="preserve">Last supplier update</t>
  </si>
  <si>
    <t xml:space="preserve">Status</t>
  </si>
  <si>
    <t xml:space="preserve">PO value ($)</t>
  </si>
  <si>
    <t xml:space="preserve">On hand (units, optional)</t>
  </si>
  <si>
    <t xml:space="preserve">Avg daily sales (units, optional)</t>
  </si>
  <si>
    <t xml:space="preserve">Qty outstanding</t>
  </si>
  <si>
    <t xml:space="preserve">Days late</t>
  </si>
  <si>
    <t xml:space="preserve">Days since update</t>
  </si>
  <si>
    <t xml:space="preserve">Health</t>
  </si>
  <si>
    <t xml:space="preserve">Next action</t>
  </si>
  <si>
    <t xml:space="preserve">Days of stock cover</t>
  </si>
  <si>
    <t xml:space="preserve">Stockout before ETA?</t>
  </si>
  <si>
    <t xml:space="preserve">Follow up by</t>
  </si>
  <si>
    <t xml:space="preserve">PO-2041</t>
  </si>
  <si>
    <t xml:space="preserve">Supplier A - Ningbo (sample)</t>
  </si>
  <si>
    <t xml:space="preserve">SKU-1001 Garlic press</t>
  </si>
  <si>
    <t xml:space="preserve">Email</t>
  </si>
  <si>
    <t xml:space="preserve">Shipped</t>
  </si>
  <si>
    <t xml:space="preserve">PO-2043</t>
  </si>
  <si>
    <t xml:space="preserve">Supplier B - Shenzhen (sample)</t>
  </si>
  <si>
    <t xml:space="preserve">SKU-2010 Silicone lid set</t>
  </si>
  <si>
    <t xml:space="preserve">WeChat</t>
  </si>
  <si>
    <t xml:space="preserve">Delayed</t>
  </si>
  <si>
    <t xml:space="preserve">PO-2047</t>
  </si>
  <si>
    <t xml:space="preserve">SKU-1004 Peeler</t>
  </si>
  <si>
    <t xml:space="preserve">In production</t>
  </si>
  <si>
    <t xml:space="preserve">PO-2049</t>
  </si>
  <si>
    <t xml:space="preserve">Supplier C - Yiwu (sample)</t>
  </si>
  <si>
    <t xml:space="preserve">SKU-3002 Storage jar 1L</t>
  </si>
  <si>
    <t xml:space="preserve">WhatsApp</t>
  </si>
  <si>
    <t xml:space="preserve">Ready to ship</t>
  </si>
  <si>
    <t xml:space="preserve">PO-2052</t>
  </si>
  <si>
    <t xml:space="preserve">SKU-2014 Lunch box</t>
  </si>
  <si>
    <t xml:space="preserve">Confirmed</t>
  </si>
  <si>
    <t xml:space="preserve">PO-2055</t>
  </si>
  <si>
    <t xml:space="preserve">Supplier D - Dongguan (sample)</t>
  </si>
  <si>
    <t xml:space="preserve">SKU-4001 Bamboo board</t>
  </si>
  <si>
    <t xml:space="preserve">PO-2058</t>
  </si>
  <si>
    <t xml:space="preserve">SKU-3005 Spice rack</t>
  </si>
  <si>
    <t xml:space="preserve">PO-2060</t>
  </si>
  <si>
    <t xml:space="preserve">SKU-1007 Whisk</t>
  </si>
  <si>
    <t xml:space="preserve">PO-2063</t>
  </si>
  <si>
    <t xml:space="preserve">SKU-4003 Knife block</t>
  </si>
  <si>
    <t xml:space="preserve">PO-2066</t>
  </si>
  <si>
    <t xml:space="preserve">SKU-2020 Bottle brush</t>
  </si>
  <si>
    <t xml:space="preserve">PO-2030</t>
  </si>
  <si>
    <t xml:space="preserve">SKU-3001 Storage jar 500ml</t>
  </si>
  <si>
    <t xml:space="preserve">Received</t>
  </si>
  <si>
    <t xml:space="preserve">PO-2034</t>
  </si>
  <si>
    <t xml:space="preserve">SKU-1002 Can opener</t>
  </si>
  <si>
    <t xml:space="preserve">Dashboard</t>
  </si>
  <si>
    <t xml:space="preserve">As of</t>
  </si>
  <si>
    <t xml:space="preserve">Key numbers</t>
  </si>
  <si>
    <t xml:space="preserve">What it tells you</t>
  </si>
  <si>
    <t xml:space="preserve">Open PO lines</t>
  </si>
  <si>
    <t xml:space="preserve">Lines you are still waiting on.</t>
  </si>
  <si>
    <t xml:space="preserve">Money in open POs ($)</t>
  </si>
  <si>
    <t xml:space="preserve">Cash committed to orders not yet received.</t>
  </si>
  <si>
    <t xml:space="preserve">Lines late or overdue to ship</t>
  </si>
  <si>
    <t xml:space="preserve">Need a supplier follow-up today.</t>
  </si>
  <si>
    <t xml:space="preserve">Money in late or overdue lines ($)</t>
  </si>
  <si>
    <t xml:space="preserve">Cash stuck in orders that slipped.</t>
  </si>
  <si>
    <t xml:space="preserve">Lines at risk</t>
  </si>
  <si>
    <t xml:space="preserve">Confirm these ship dates this week.</t>
  </si>
  <si>
    <t xml:space="preserve">Lines with a silent supplier (stale)</t>
  </si>
  <si>
    <t xml:space="preserve">No update for longer than your stale threshold.</t>
  </si>
  <si>
    <t xml:space="preserve">Lines that run out of stock before the ETA</t>
  </si>
  <si>
    <t xml:space="preserve">Stockouts coming unless the order arrives early or you top up.</t>
  </si>
  <si>
    <t xml:space="preserve">Follow-ups due today or earlier</t>
  </si>
  <si>
    <t xml:space="preserve">Count of lines whose follow-up date has arrived.</t>
  </si>
  <si>
    <t xml:space="preserve">Average days late (late lines)</t>
  </si>
  <si>
    <t xml:space="preserve">How far past the ETA your late orders are.</t>
  </si>
  <si>
    <t xml:space="preserve">Average days since last update (open lines)</t>
  </si>
  <si>
    <t xml:space="preserve">How long suppliers typically go quiet.</t>
  </si>
  <si>
    <t xml:space="preserve">Lines by health</t>
  </si>
  <si>
    <t xml:space="preserve">Lines</t>
  </si>
  <si>
    <t xml:space="preserve">Value ($)</t>
  </si>
  <si>
    <t xml:space="preserve">To see the lines behind a number, open Open POs and filter the Health column.</t>
  </si>
  <si>
    <t xml:space="preserve">Supplier scorecard</t>
  </si>
  <si>
    <t xml:space="preserve">Type each supplier name in column A exactly as in Open POs. The sample names below can be overwritten.</t>
  </si>
  <si>
    <t xml:space="preserve">Open lines</t>
  </si>
  <si>
    <t xml:space="preserve">Open value ($)</t>
  </si>
  <si>
    <t xml:space="preserve">Avg days late</t>
  </si>
  <si>
    <t xml:space="preserve">Longest silence (days)</t>
  </si>
  <si>
    <t xml:space="preserve">% of open lines late or overdue</t>
  </si>
  <si>
    <t xml:space="preserve">Follow-up templates</t>
  </si>
  <si>
    <t xml:space="preserve">Pick the row that matches the line's Health, fill the {brackets}, and send by email, WeChat or WhatsApp. Review before sending.</t>
  </si>
  <si>
    <t xml:space="preserve">Use when Health is</t>
  </si>
  <si>
    <t xml:space="preserve">English</t>
  </si>
  <si>
    <t xml:space="preserve">Simplified Chinese</t>
  </si>
  <si>
    <t xml:space="preserve">Hi {Name}, could you share the current status of PO {PO #} ({Item})? Please confirm the ship date, and send a few photos if production is finished. Thank you!</t>
  </si>
  <si>
    <r>
      <rPr>
        <sz val="10"/>
        <color rgb="FF000000"/>
        <rFont val="Noto Sans CJK SC"/>
        <family val="2"/>
      </rPr>
      <t xml:space="preserve">您好 </t>
    </r>
    <r>
      <rPr>
        <sz val="10"/>
        <color rgb="FF000000"/>
        <rFont val="Arial"/>
        <family val="0"/>
        <charset val="1"/>
      </rPr>
      <t xml:space="preserve">{Name}</t>
    </r>
    <r>
      <rPr>
        <sz val="10"/>
        <color rgb="FF000000"/>
        <rFont val="Noto Sans CJK SC"/>
        <family val="2"/>
      </rPr>
      <t xml:space="preserve">，请问订单 </t>
    </r>
    <r>
      <rPr>
        <sz val="10"/>
        <color rgb="FF000000"/>
        <rFont val="Arial"/>
        <family val="0"/>
        <charset val="1"/>
      </rPr>
      <t xml:space="preserve">{PO #}</t>
    </r>
    <r>
      <rPr>
        <sz val="10"/>
        <color rgb="FF000000"/>
        <rFont val="Noto Sans CJK SC"/>
        <family val="2"/>
      </rPr>
      <t xml:space="preserve">（</t>
    </r>
    <r>
      <rPr>
        <sz val="10"/>
        <color rgb="FF000000"/>
        <rFont val="Arial"/>
        <family val="0"/>
        <charset val="1"/>
      </rPr>
      <t xml:space="preserve">{Item}</t>
    </r>
    <r>
      <rPr>
        <sz val="10"/>
        <color rgb="FF000000"/>
        <rFont val="Noto Sans CJK SC"/>
        <family val="2"/>
      </rPr>
      <t xml:space="preserve">）目前的进度如何？请确认发货日期，如果已经生产完成，请发几张照片。谢谢！</t>
    </r>
  </si>
  <si>
    <t xml:space="preserve">Hi {Name}, just confirming that PO {PO #} is still on track to ship on {Ship date}. Is there anything that could cause a delay?</t>
  </si>
  <si>
    <r>
      <rPr>
        <sz val="10"/>
        <color rgb="FF000000"/>
        <rFont val="Noto Sans CJK SC"/>
        <family val="2"/>
      </rPr>
      <t xml:space="preserve">您好 </t>
    </r>
    <r>
      <rPr>
        <sz val="10"/>
        <color rgb="FF000000"/>
        <rFont val="Arial"/>
        <family val="0"/>
        <charset val="1"/>
      </rPr>
      <t xml:space="preserve">{Name}</t>
    </r>
    <r>
      <rPr>
        <sz val="10"/>
        <color rgb="FF000000"/>
        <rFont val="Noto Sans CJK SC"/>
        <family val="2"/>
      </rPr>
      <t xml:space="preserve">，想确认一下订单 </t>
    </r>
    <r>
      <rPr>
        <sz val="10"/>
        <color rgb="FF000000"/>
        <rFont val="Arial"/>
        <family val="0"/>
        <charset val="1"/>
      </rPr>
      <t xml:space="preserve">{PO #} </t>
    </r>
    <r>
      <rPr>
        <sz val="10"/>
        <color rgb="FF000000"/>
        <rFont val="Noto Sans CJK SC"/>
        <family val="2"/>
      </rPr>
      <t xml:space="preserve">是否仍按计划在 </t>
    </r>
    <r>
      <rPr>
        <sz val="10"/>
        <color rgb="FF000000"/>
        <rFont val="Arial"/>
        <family val="0"/>
        <charset val="1"/>
      </rPr>
      <t xml:space="preserve">{Ship date} </t>
    </r>
    <r>
      <rPr>
        <sz val="10"/>
        <color rgb="FF000000"/>
        <rFont val="Noto Sans CJK SC"/>
        <family val="2"/>
      </rPr>
      <t xml:space="preserve">发货？有没有可能导致延误的情况？</t>
    </r>
  </si>
  <si>
    <t xml:space="preserve">Hi {Name}, PO {PO #} was due to ship on {Ship date}, and we haven't received shipping details yet. What is the new ship date, and what is causing the delay? We need a firm date by {Deadline}.</t>
  </si>
  <si>
    <r>
      <rPr>
        <sz val="10"/>
        <color rgb="FF000000"/>
        <rFont val="Noto Sans CJK SC"/>
        <family val="2"/>
      </rPr>
      <t xml:space="preserve">您好 </t>
    </r>
    <r>
      <rPr>
        <sz val="10"/>
        <color rgb="FF000000"/>
        <rFont val="Arial"/>
        <family val="0"/>
        <charset val="1"/>
      </rPr>
      <t xml:space="preserve">{Name}</t>
    </r>
    <r>
      <rPr>
        <sz val="10"/>
        <color rgb="FF000000"/>
        <rFont val="Noto Sans CJK SC"/>
        <family val="2"/>
      </rPr>
      <t xml:space="preserve">，订单 </t>
    </r>
    <r>
      <rPr>
        <sz val="10"/>
        <color rgb="FF000000"/>
        <rFont val="Arial"/>
        <family val="0"/>
        <charset val="1"/>
      </rPr>
      <t xml:space="preserve">{PO #} </t>
    </r>
    <r>
      <rPr>
        <sz val="10"/>
        <color rgb="FF000000"/>
        <rFont val="Noto Sans CJK SC"/>
        <family val="2"/>
      </rPr>
      <t xml:space="preserve">原定于 </t>
    </r>
    <r>
      <rPr>
        <sz val="10"/>
        <color rgb="FF000000"/>
        <rFont val="Arial"/>
        <family val="0"/>
        <charset val="1"/>
      </rPr>
      <t xml:space="preserve">{Ship date} </t>
    </r>
    <r>
      <rPr>
        <sz val="10"/>
        <color rgb="FF000000"/>
        <rFont val="Noto Sans CJK SC"/>
        <family val="2"/>
      </rPr>
      <t xml:space="preserve">发货，但我们还没有收到发货信息。请问新的发货日期是什么时候？延误的原因是什么？请在 </t>
    </r>
    <r>
      <rPr>
        <sz val="10"/>
        <color rgb="FF000000"/>
        <rFont val="Arial"/>
        <family val="0"/>
        <charset val="1"/>
      </rPr>
      <t xml:space="preserve">{Deadline} </t>
    </r>
    <r>
      <rPr>
        <sz val="10"/>
        <color rgb="FF000000"/>
        <rFont val="Noto Sans CJK SC"/>
        <family val="2"/>
      </rPr>
      <t xml:space="preserve">前给我们一个确定的日期。</t>
    </r>
  </si>
  <si>
    <t xml:space="preserve">Hi {Name}, PO {PO #} was due to arrive on {ETA} and is now {Days late} days late. Please send the tracking number and the updated arrival date today. This delay affects our stock, so a quick reply would help a lot.</t>
  </si>
  <si>
    <r>
      <rPr>
        <sz val="10"/>
        <color rgb="FF000000"/>
        <rFont val="Noto Sans CJK SC"/>
        <family val="2"/>
      </rPr>
      <t xml:space="preserve">您好 </t>
    </r>
    <r>
      <rPr>
        <sz val="10"/>
        <color rgb="FF000000"/>
        <rFont val="Arial"/>
        <family val="0"/>
        <charset val="1"/>
      </rPr>
      <t xml:space="preserve">{Name}</t>
    </r>
    <r>
      <rPr>
        <sz val="10"/>
        <color rgb="FF000000"/>
        <rFont val="Noto Sans CJK SC"/>
        <family val="2"/>
      </rPr>
      <t xml:space="preserve">，订单 </t>
    </r>
    <r>
      <rPr>
        <sz val="10"/>
        <color rgb="FF000000"/>
        <rFont val="Arial"/>
        <family val="0"/>
        <charset val="1"/>
      </rPr>
      <t xml:space="preserve">{PO #} </t>
    </r>
    <r>
      <rPr>
        <sz val="10"/>
        <color rgb="FF000000"/>
        <rFont val="Noto Sans CJK SC"/>
        <family val="2"/>
      </rPr>
      <t xml:space="preserve">原定于 </t>
    </r>
    <r>
      <rPr>
        <sz val="10"/>
        <color rgb="FF000000"/>
        <rFont val="Arial"/>
        <family val="0"/>
        <charset val="1"/>
      </rPr>
      <t xml:space="preserve">{ETA} </t>
    </r>
    <r>
      <rPr>
        <sz val="10"/>
        <color rgb="FF000000"/>
        <rFont val="Noto Sans CJK SC"/>
        <family val="2"/>
      </rPr>
      <t xml:space="preserve">到货，现在已经延迟 </t>
    </r>
    <r>
      <rPr>
        <sz val="10"/>
        <color rgb="FF000000"/>
        <rFont val="Arial"/>
        <family val="0"/>
        <charset val="1"/>
      </rPr>
      <t xml:space="preserve">{Days late} </t>
    </r>
    <r>
      <rPr>
        <sz val="10"/>
        <color rgb="FF000000"/>
        <rFont val="Noto Sans CJK SC"/>
        <family val="2"/>
      </rPr>
      <t xml:space="preserve">天。请今天发给我们物流单号和最新的到货日期。这次延误影响了我们的库存，请尽快回复，非常感谢。</t>
    </r>
  </si>
  <si>
    <t xml:space="preserve">Tip</t>
  </si>
  <si>
    <t xml:space="preserve">Suppliers on WeChat usually answer faster there than by email. Paste the Chinese version and attach the PO number.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</si>
</sst>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\ mmm\ yyyy"/>
    <numFmt numFmtId="166" formatCode="0"/>
    <numFmt numFmtId="167" formatCode="#,##0"/>
    <numFmt numFmtId="168" formatCode="\$#,##0"/>
    <numFmt numFmtId="169" formatCode="0.0"/>
    <numFmt numFmtId="170" formatCode="0%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2A44"/>
      <name val="Arial"/>
      <family val="0"/>
      <charset val="1"/>
    </font>
    <font>
      <sz val="11"/>
      <color rgb="FF595959"/>
      <name val="Arial"/>
      <family val="0"/>
      <charset val="1"/>
    </font>
    <font>
      <b val="true"/>
      <sz val="12"/>
      <color rgb="FF1F2A44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6"/>
      <color rgb="FF1F2A44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8"/>
      <color rgb="FF7F6000"/>
      <name val="Arial"/>
      <family val="0"/>
      <charset val="1"/>
    </font>
    <font>
      <b val="true"/>
      <sz val="8"/>
      <color rgb="FF59595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000000"/>
      <name val="Arial"/>
      <family val="0"/>
      <charset val="1"/>
    </font>
    <font>
      <sz val="10"/>
      <name val="Arial"/>
      <family val="2"/>
    </font>
    <font>
      <b val="true"/>
      <sz val="18"/>
      <color rgb="FF1F2A44"/>
      <name val="Arial"/>
      <family val="0"/>
      <charset val="1"/>
    </font>
    <font>
      <b val="true"/>
      <sz val="11"/>
      <color rgb="FF1F2A4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color rgb="FF000000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FFFBEA"/>
        <bgColor rgb="FFFFFFFF"/>
      </patternFill>
    </fill>
    <fill>
      <patternFill patternType="solid">
        <fgColor rgb="FFF2F2F2"/>
        <bgColor rgb="FFEDEDED"/>
      </patternFill>
    </fill>
    <fill>
      <patternFill patternType="solid">
        <fgColor rgb="FF1F2A44"/>
        <bgColor rgb="FF003366"/>
      </patternFill>
    </fill>
    <fill>
      <patternFill patternType="solid">
        <fgColor rgb="FF5B6577"/>
        <bgColor rgb="FF59595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1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6">
    <dxf>
      <fill>
        <patternFill patternType="solid">
          <fgColor rgb="FF1F2A44"/>
          <bgColor rgb="FF000000"/>
        </patternFill>
      </fill>
    </dxf>
    <dxf>
      <fill>
        <patternFill patternType="solid">
          <fgColor rgb="FFFFFBEA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B6577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D9EAD3"/>
          <bgColor rgb="FF000000"/>
        </patternFill>
      </fill>
    </dxf>
    <dxf>
      <fill>
        <patternFill patternType="solid">
          <fgColor rgb="FFE7E6F7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F4C7C3"/>
          <bgColor rgb="FF000000"/>
        </patternFill>
      </fill>
    </dxf>
    <dxf>
      <fill>
        <patternFill patternType="solid">
          <fgColor rgb="FFFCE4CC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274E13"/>
          <bgColor rgb="FF000000"/>
        </patternFill>
      </fill>
    </dxf>
    <dxf>
      <fill>
        <patternFill patternType="solid">
          <fgColor rgb="FF3F3F76"/>
          <bgColor rgb="FF000000"/>
        </patternFill>
      </fill>
    </dxf>
    <dxf>
      <fill>
        <patternFill patternType="solid">
          <fgColor rgb="FF7F6000"/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974706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name val="Arial"/>
        <charset val="1"/>
        <family val="0"/>
        <b val="1"/>
        <color rgb="FF9C0006"/>
        <sz val="9"/>
      </font>
      <fill>
        <patternFill>
          <bgColor rgb="FFF4C7C3"/>
        </patternFill>
      </fill>
    </dxf>
    <dxf>
      <font>
        <name val="Arial"/>
        <charset val="1"/>
        <family val="0"/>
        <b val="1"/>
        <color rgb="FF974706"/>
        <sz val="9"/>
      </font>
      <fill>
        <patternFill>
          <bgColor rgb="FFFCE4CC"/>
        </patternFill>
      </fill>
    </dxf>
    <dxf>
      <font>
        <name val="Arial"/>
        <charset val="1"/>
        <family val="0"/>
        <b val="1"/>
        <color rgb="FF7F6000"/>
        <sz val="9"/>
      </font>
      <fill>
        <patternFill>
          <bgColor rgb="FFFFF2CC"/>
        </patternFill>
      </fill>
    </dxf>
    <dxf>
      <font>
        <name val="Arial"/>
        <charset val="1"/>
        <family val="0"/>
        <b val="1"/>
        <color rgb="FF3F3F76"/>
        <sz val="9"/>
      </font>
      <fill>
        <patternFill>
          <bgColor rgb="FFE7E6F7"/>
        </patternFill>
      </fill>
    </dxf>
    <dxf>
      <font>
        <name val="Arial"/>
        <charset val="1"/>
        <family val="0"/>
        <b val="1"/>
        <color rgb="FF274E13"/>
        <sz val="9"/>
      </font>
      <fill>
        <patternFill>
          <bgColor rgb="FFD9EAD3"/>
        </patternFill>
      </fill>
    </dxf>
    <dxf>
      <font>
        <name val="Arial"/>
        <charset val="1"/>
        <family val="0"/>
        <b val="1"/>
        <color rgb="FF7F7F7F"/>
        <sz val="9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9C0006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008080"/>
      <rgbColor rgb="FFE7E6F7"/>
      <rgbColor rgb="FF7F7F7F"/>
      <rgbColor rgb="FF9999FF"/>
      <rgbColor rgb="FF595959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D9EAD3"/>
      <rgbColor rgb="FFFCE4CC"/>
      <rgbColor rgb="FFFFFBEA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5B6577"/>
      <rgbColor rgb="FF969696"/>
      <rgbColor rgb="FF003366"/>
      <rgbColor rgb="FF339966"/>
      <rgbColor rgb="FF003300"/>
      <rgbColor rgb="FF274E13"/>
      <rgbColor rgb="FF974706"/>
      <rgbColor rgb="FF993366"/>
      <rgbColor rgb="FF3F3F76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  <c r="C6" s="5" t="s">
        <v>4</v>
      </c>
    </row>
    <row r="7" customFormat="false" ht="30" hidden="false" customHeight="true" outlineLevel="0" collapsed="false">
      <c r="B7" s="4" t="s">
        <v>5</v>
      </c>
      <c r="C7" s="5" t="s">
        <v>6</v>
      </c>
    </row>
    <row r="8" customFormat="false" ht="30" hidden="false" customHeight="true" outlineLevel="0" collapsed="false">
      <c r="B8" s="4" t="s">
        <v>7</v>
      </c>
      <c r="C8" s="5" t="s">
        <v>8</v>
      </c>
    </row>
    <row r="9" customFormat="false" ht="30" hidden="false" customHeight="true" outlineLevel="0" collapsed="false">
      <c r="B9" s="4" t="s">
        <v>9</v>
      </c>
      <c r="C9" s="5" t="s">
        <v>10</v>
      </c>
    </row>
    <row r="10" customFormat="false" ht="30" hidden="false" customHeight="true" outlineLevel="0" collapsed="false">
      <c r="B10" s="4" t="s">
        <v>11</v>
      </c>
      <c r="C10" s="5" t="s">
        <v>12</v>
      </c>
    </row>
    <row r="12" customFormat="false" ht="15" hidden="false" customHeight="false" outlineLevel="0" collapsed="false">
      <c r="B12" s="3" t="s">
        <v>13</v>
      </c>
    </row>
    <row r="13" customFormat="false" ht="15" hidden="false" customHeight="false" outlineLevel="0" collapsed="false">
      <c r="B13" s="6" t="s">
        <v>14</v>
      </c>
      <c r="C13" s="7" t="s">
        <v>15</v>
      </c>
    </row>
    <row r="14" customFormat="false" ht="15" hidden="false" customHeight="false" outlineLevel="0" collapsed="false">
      <c r="B14" s="8" t="s">
        <v>16</v>
      </c>
      <c r="C14" s="7" t="s">
        <v>17</v>
      </c>
    </row>
    <row r="16" customFormat="false" ht="15" hidden="false" customHeight="false" outlineLevel="0" collapsed="false">
      <c r="B16" s="3" t="s">
        <v>18</v>
      </c>
    </row>
    <row r="17" customFormat="false" ht="15" hidden="false" customHeight="false" outlineLevel="0" collapsed="false">
      <c r="B17" s="9" t="s">
        <v>19</v>
      </c>
      <c r="C17" s="7" t="s">
        <v>20</v>
      </c>
    </row>
    <row r="18" customFormat="false" ht="15" hidden="false" customHeight="false" outlineLevel="0" collapsed="false">
      <c r="B18" s="9" t="s">
        <v>21</v>
      </c>
      <c r="C18" s="7" t="s">
        <v>22</v>
      </c>
    </row>
    <row r="19" customFormat="false" ht="15" hidden="false" customHeight="false" outlineLevel="0" collapsed="false">
      <c r="B19" s="9" t="s">
        <v>23</v>
      </c>
      <c r="C19" s="7" t="s">
        <v>24</v>
      </c>
    </row>
    <row r="20" customFormat="false" ht="15" hidden="false" customHeight="false" outlineLevel="0" collapsed="false">
      <c r="B20" s="9" t="s">
        <v>25</v>
      </c>
      <c r="C20" s="7" t="s">
        <v>26</v>
      </c>
    </row>
    <row r="21" customFormat="false" ht="15" hidden="false" customHeight="false" outlineLevel="0" collapsed="false">
      <c r="B21" s="9" t="s">
        <v>27</v>
      </c>
      <c r="C21" s="7" t="s">
        <v>28</v>
      </c>
    </row>
    <row r="22" customFormat="false" ht="15" hidden="false" customHeight="false" outlineLevel="0" collapsed="false">
      <c r="B22" s="9" t="s">
        <v>29</v>
      </c>
      <c r="C22" s="7" t="s">
        <v>30</v>
      </c>
    </row>
    <row r="24" customFormat="false" ht="27.75" hidden="false" customHeight="true" outlineLevel="0" collapsed="false">
      <c r="B24" s="4" t="s">
        <v>31</v>
      </c>
      <c r="C24" s="5" t="s">
        <v>32</v>
      </c>
    </row>
    <row r="26" customFormat="false" ht="15" hidden="false" customHeight="false" outlineLevel="0" collapsed="false">
      <c r="B26" s="10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1" t="s">
        <v>34</v>
      </c>
    </row>
    <row r="2" customFormat="false" ht="15" hidden="false" customHeight="false" outlineLevel="0" collapsed="false">
      <c r="A2" s="12" t="s">
        <v>35</v>
      </c>
    </row>
    <row r="3" customFormat="false" ht="15" hidden="false" customHeight="false" outlineLevel="0" collapsed="false">
      <c r="A3" s="13" t="s">
        <v>36</v>
      </c>
      <c r="B3" s="13" t="s">
        <v>37</v>
      </c>
      <c r="C3" s="13" t="s">
        <v>38</v>
      </c>
    </row>
    <row r="4" customFormat="false" ht="27.75" hidden="false" customHeight="true" outlineLevel="0" collapsed="false">
      <c r="A4" s="14" t="s">
        <v>39</v>
      </c>
      <c r="B4" s="15" t="n">
        <f aca="true">TODAY()</f>
        <v>46302</v>
      </c>
      <c r="C4" s="16" t="s">
        <v>40</v>
      </c>
    </row>
    <row r="5" customFormat="false" ht="27.75" hidden="false" customHeight="true" outlineLevel="0" collapsed="false">
      <c r="A5" s="14" t="s">
        <v>41</v>
      </c>
      <c r="B5" s="17" t="n">
        <v>10</v>
      </c>
      <c r="C5" s="16" t="s">
        <v>42</v>
      </c>
    </row>
    <row r="6" customFormat="false" ht="27.75" hidden="false" customHeight="true" outlineLevel="0" collapsed="false">
      <c r="A6" s="14" t="s">
        <v>43</v>
      </c>
      <c r="B6" s="17" t="n">
        <v>7</v>
      </c>
      <c r="C6" s="16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26"/>
    <col collapsed="false" customWidth="true" hidden="false" outlineLevel="0" max="4" min="4" style="0" width="11"/>
    <col collapsed="false" customWidth="true" hidden="false" outlineLevel="0" max="6" min="5" style="0" width="10"/>
    <col collapsed="false" customWidth="true" hidden="false" outlineLevel="0" max="10" min="7" style="0" width="12"/>
    <col collapsed="false" customWidth="true" hidden="false" outlineLevel="0" max="11" min="11" style="0" width="13"/>
    <col collapsed="false" customWidth="true" hidden="false" outlineLevel="0" max="13" min="12" style="0" width="11"/>
    <col collapsed="false" customWidth="true" hidden="false" outlineLevel="0" max="14" min="14" style="0" width="12"/>
    <col collapsed="false" customWidth="true" hidden="false" outlineLevel="0" max="15" min="15" style="0" width="10"/>
    <col collapsed="false" customWidth="true" hidden="false" outlineLevel="0" max="16" min="16" style="0" width="8"/>
    <col collapsed="false" customWidth="true" hidden="false" outlineLevel="0" max="17" min="17" style="0" width="9"/>
    <col collapsed="false" customWidth="true" hidden="false" outlineLevel="0" max="18" min="18" style="0" width="13"/>
    <col collapsed="false" customWidth="true" hidden="false" outlineLevel="0" max="19" min="19" style="0" width="44"/>
    <col collapsed="false" customWidth="true" hidden="false" outlineLevel="0" max="20" min="20" style="0" width="9"/>
    <col collapsed="false" customWidth="true" hidden="false" outlineLevel="0" max="21" min="21" style="0" width="30"/>
    <col collapsed="false" customWidth="true" hidden="false" outlineLevel="0" max="22" min="22" style="0" width="12"/>
  </cols>
  <sheetData>
    <row r="1" customFormat="false" ht="19.7" hidden="false" customHeight="false" outlineLevel="0" collapsed="false">
      <c r="A1" s="11" t="s">
        <v>45</v>
      </c>
    </row>
    <row r="2" customFormat="false" ht="15" hidden="false" customHeight="false" outlineLevel="0" collapsed="false">
      <c r="A2" s="18" t="s">
        <v>46</v>
      </c>
    </row>
    <row r="3" customFormat="false" ht="15" hidden="false" customHeight="false" outlineLevel="0" collapsed="false">
      <c r="A3" s="19" t="s">
        <v>47</v>
      </c>
      <c r="O3" s="20" t="s">
        <v>48</v>
      </c>
    </row>
    <row r="4" customFormat="false" ht="42" hidden="false" customHeight="true" outlineLevel="0" collapsed="false">
      <c r="A4" s="21" t="s">
        <v>49</v>
      </c>
      <c r="B4" s="21" t="s">
        <v>50</v>
      </c>
      <c r="C4" s="21" t="s">
        <v>51</v>
      </c>
      <c r="D4" s="21" t="s">
        <v>52</v>
      </c>
      <c r="E4" s="21" t="s">
        <v>53</v>
      </c>
      <c r="F4" s="21" t="s">
        <v>54</v>
      </c>
      <c r="G4" s="21" t="s">
        <v>55</v>
      </c>
      <c r="H4" s="21" t="s">
        <v>56</v>
      </c>
      <c r="I4" s="21" t="s">
        <v>57</v>
      </c>
      <c r="J4" s="21" t="s">
        <v>58</v>
      </c>
      <c r="K4" s="21" t="s">
        <v>59</v>
      </c>
      <c r="L4" s="21" t="s">
        <v>60</v>
      </c>
      <c r="M4" s="21" t="s">
        <v>61</v>
      </c>
      <c r="N4" s="21" t="s">
        <v>62</v>
      </c>
      <c r="O4" s="22" t="s">
        <v>63</v>
      </c>
      <c r="P4" s="22" t="s">
        <v>64</v>
      </c>
      <c r="Q4" s="22" t="s">
        <v>65</v>
      </c>
      <c r="R4" s="22" t="s">
        <v>66</v>
      </c>
      <c r="S4" s="22" t="s">
        <v>67</v>
      </c>
      <c r="T4" s="22" t="s">
        <v>68</v>
      </c>
      <c r="U4" s="22" t="s">
        <v>69</v>
      </c>
      <c r="V4" s="22" t="s">
        <v>70</v>
      </c>
    </row>
    <row r="5" customFormat="false" ht="15" hidden="false" customHeight="false" outlineLevel="0" collapsed="false">
      <c r="A5" s="23" t="s">
        <v>71</v>
      </c>
      <c r="B5" s="23" t="s">
        <v>72</v>
      </c>
      <c r="C5" s="23" t="s">
        <v>73</v>
      </c>
      <c r="D5" s="23" t="s">
        <v>74</v>
      </c>
      <c r="E5" s="24" t="n">
        <v>2000</v>
      </c>
      <c r="F5" s="24" t="n">
        <v>0</v>
      </c>
      <c r="G5" s="25" t="n">
        <f aca="false">Settings!$B$4-60</f>
        <v>46242</v>
      </c>
      <c r="H5" s="25" t="n">
        <f aca="false">Settings!$B$4-20</f>
        <v>46282</v>
      </c>
      <c r="I5" s="25" t="n">
        <f aca="false">Settings!$B$4-5</f>
        <v>46297</v>
      </c>
      <c r="J5" s="25" t="n">
        <f aca="false">Settings!$B$4-9</f>
        <v>46293</v>
      </c>
      <c r="K5" s="23" t="s">
        <v>75</v>
      </c>
      <c r="L5" s="26" t="n">
        <v>6400</v>
      </c>
      <c r="M5" s="24" t="n">
        <v>150</v>
      </c>
      <c r="N5" s="24" t="n">
        <v>40</v>
      </c>
      <c r="O5" s="27" t="n">
        <f aca="false">IF(A5="","",MAX(E5-F5,0))</f>
        <v>2000</v>
      </c>
      <c r="P5" s="28" t="n">
        <f aca="false">IF(OR(A5="",I5=""),"",MAX(Settings!$B$4-I5,0))</f>
        <v>5</v>
      </c>
      <c r="Q5" s="28" t="n">
        <f aca="false">IF(OR(A5="",J5=""),"",Settings!$B$4-J5)</f>
        <v>9</v>
      </c>
      <c r="R5" s="29" t="str">
        <f aca="false">IF(A5="","",IF(OR(K5="Received",AND(E5&lt;&gt;"",O5=0)),"Closed",IF(AND(I5&lt;&gt;"",Settings!$B$4&gt;I5),"Late",IF(AND(H5&lt;&gt;"",Settings!$B$4&gt;H5,K5&lt;&gt;"Shipped"),"Ship overdue",IF(OR(K5="Delayed",AND(I5&lt;&gt;"",I5-Settings!$B$4&lt;=Settings!$B$5,K5&lt;&gt;"Shipped")),"At risk",IF(AND(Q5&lt;&gt;"",Q5&gt;Settings!$B$6),"Stale","On track"))))))</f>
        <v>Late</v>
      </c>
      <c r="S5" s="29" t="str">
        <f aca="false">IF(R5="","",IF(R5="Late","Ask for a new ETA and tracking number",IF(R5="Ship overdue","Ask why it hasn't shipped; get a firm ship date",IF(R5="At risk","Confirm the ship date this week",IF(R5="Stale","Request a status update",IF(R5="Closed","-","No action needed"))))))</f>
        <v>Ask for a new ETA and tracking number</v>
      </c>
      <c r="T5" s="30" t="n">
        <f aca="false">IF(OR(A5="",N5="",M5=""),"",IF(N5=0,"",M5/N5))</f>
        <v>3.75</v>
      </c>
      <c r="U5" s="29" t="str">
        <f aca="false">IF(OR(T5="",I5="",R5="Closed"),"",IF(R5="Late","ETA passed: "&amp;ROUND(T5,0)&amp;" days of stock left",IF(Settings!$B$4+T5&lt;I5,"YES: "&amp;ROUND(I5-(Settings!$B$4+T5),0)&amp;" days short","No")))</f>
        <v>ETA passed: 4 days of stock left</v>
      </c>
      <c r="V5" s="31" t="n">
        <f aca="false">IF(R5="","",IF(OR(R5="Late",R5="Ship overdue",R5="Stale"),Settings!$B$4,IF(R5="At risk",Settings!$B$4+2,"")))</f>
        <v>46302</v>
      </c>
    </row>
    <row r="6" customFormat="false" ht="15" hidden="false" customHeight="false" outlineLevel="0" collapsed="false">
      <c r="A6" s="23" t="s">
        <v>76</v>
      </c>
      <c r="B6" s="23" t="s">
        <v>77</v>
      </c>
      <c r="C6" s="23" t="s">
        <v>78</v>
      </c>
      <c r="D6" s="23" t="s">
        <v>79</v>
      </c>
      <c r="E6" s="24" t="n">
        <v>1500</v>
      </c>
      <c r="F6" s="24" t="n">
        <v>0</v>
      </c>
      <c r="G6" s="25" t="n">
        <f aca="false">Settings!$B$4-50</f>
        <v>46252</v>
      </c>
      <c r="H6" s="25" t="n">
        <f aca="false">Settings!$B$4-15</f>
        <v>46287</v>
      </c>
      <c r="I6" s="25" t="n">
        <f aca="false">Settings!$B$4-2</f>
        <v>46300</v>
      </c>
      <c r="J6" s="25" t="n">
        <f aca="false">Settings!$B$4-12</f>
        <v>46290</v>
      </c>
      <c r="K6" s="23" t="s">
        <v>80</v>
      </c>
      <c r="L6" s="26" t="n">
        <v>4200</v>
      </c>
      <c r="M6" s="24" t="n">
        <v>300</v>
      </c>
      <c r="N6" s="24" t="n">
        <v>25</v>
      </c>
      <c r="O6" s="27" t="n">
        <f aca="false">IF(A6="","",MAX(E6-F6,0))</f>
        <v>1500</v>
      </c>
      <c r="P6" s="28" t="n">
        <f aca="false">IF(OR(A6="",I6=""),"",MAX(Settings!$B$4-I6,0))</f>
        <v>2</v>
      </c>
      <c r="Q6" s="28" t="n">
        <f aca="false">IF(OR(A6="",J6=""),"",Settings!$B$4-J6)</f>
        <v>12</v>
      </c>
      <c r="R6" s="29" t="str">
        <f aca="false">IF(A6="","",IF(OR(K6="Received",AND(E6&lt;&gt;"",O6=0)),"Closed",IF(AND(I6&lt;&gt;"",Settings!$B$4&gt;I6),"Late",IF(AND(H6&lt;&gt;"",Settings!$B$4&gt;H6,K6&lt;&gt;"Shipped"),"Ship overdue",IF(OR(K6="Delayed",AND(I6&lt;&gt;"",I6-Settings!$B$4&lt;=Settings!$B$5,K6&lt;&gt;"Shipped")),"At risk",IF(AND(Q6&lt;&gt;"",Q6&gt;Settings!$B$6),"Stale","On track"))))))</f>
        <v>Late</v>
      </c>
      <c r="S6" s="29" t="str">
        <f aca="false">IF(R6="","",IF(R6="Late","Ask for a new ETA and tracking number",IF(R6="Ship overdue","Ask why it hasn't shipped; get a firm ship date",IF(R6="At risk","Confirm the ship date this week",IF(R6="Stale","Request a status update",IF(R6="Closed","-","No action needed"))))))</f>
        <v>Ask for a new ETA and tracking number</v>
      </c>
      <c r="T6" s="30" t="n">
        <f aca="false">IF(OR(A6="",N6="",M6=""),"",IF(N6=0,"",M6/N6))</f>
        <v>12</v>
      </c>
      <c r="U6" s="29" t="str">
        <f aca="false">IF(OR(T6="",I6="",R6="Closed"),"",IF(R6="Late","ETA passed: "&amp;ROUND(T6,0)&amp;" days of stock left",IF(Settings!$B$4+T6&lt;I6,"YES: "&amp;ROUND(I6-(Settings!$B$4+T6),0)&amp;" days short","No")))</f>
        <v>ETA passed: 12 days of stock left</v>
      </c>
      <c r="V6" s="31" t="n">
        <f aca="false">IF(R6="","",IF(OR(R6="Late",R6="Ship overdue",R6="Stale"),Settings!$B$4,IF(R6="At risk",Settings!$B$4+2,"")))</f>
        <v>46302</v>
      </c>
    </row>
    <row r="7" customFormat="false" ht="15" hidden="false" customHeight="false" outlineLevel="0" collapsed="false">
      <c r="A7" s="23" t="s">
        <v>81</v>
      </c>
      <c r="B7" s="23" t="s">
        <v>72</v>
      </c>
      <c r="C7" s="23" t="s">
        <v>82</v>
      </c>
      <c r="D7" s="23" t="s">
        <v>74</v>
      </c>
      <c r="E7" s="24" t="n">
        <v>3000</v>
      </c>
      <c r="F7" s="24" t="n">
        <v>0</v>
      </c>
      <c r="G7" s="25" t="n">
        <f aca="false">Settings!$B$4-40</f>
        <v>46262</v>
      </c>
      <c r="H7" s="25" t="n">
        <f aca="false">Settings!$B$4-3</f>
        <v>46299</v>
      </c>
      <c r="I7" s="25" t="n">
        <f aca="false">Settings!$B$4+25</f>
        <v>46327</v>
      </c>
      <c r="J7" s="25" t="n">
        <f aca="false">Settings!$B$4-10</f>
        <v>46292</v>
      </c>
      <c r="K7" s="23" t="s">
        <v>83</v>
      </c>
      <c r="L7" s="26" t="n">
        <v>3900</v>
      </c>
      <c r="M7" s="24" t="n">
        <v>500</v>
      </c>
      <c r="N7" s="24" t="n">
        <v>30</v>
      </c>
      <c r="O7" s="27" t="n">
        <f aca="false">IF(A7="","",MAX(E7-F7,0))</f>
        <v>3000</v>
      </c>
      <c r="P7" s="28" t="n">
        <f aca="false">IF(OR(A7="",I7=""),"",MAX(Settings!$B$4-I7,0))</f>
        <v>0</v>
      </c>
      <c r="Q7" s="28" t="n">
        <f aca="false">IF(OR(A7="",J7=""),"",Settings!$B$4-J7)</f>
        <v>10</v>
      </c>
      <c r="R7" s="29" t="str">
        <f aca="false">IF(A7="","",IF(OR(K7="Received",AND(E7&lt;&gt;"",O7=0)),"Closed",IF(AND(I7&lt;&gt;"",Settings!$B$4&gt;I7),"Late",IF(AND(H7&lt;&gt;"",Settings!$B$4&gt;H7,K7&lt;&gt;"Shipped"),"Ship overdue",IF(OR(K7="Delayed",AND(I7&lt;&gt;"",I7-Settings!$B$4&lt;=Settings!$B$5,K7&lt;&gt;"Shipped")),"At risk",IF(AND(Q7&lt;&gt;"",Q7&gt;Settings!$B$6),"Stale","On track"))))))</f>
        <v>Ship overdue</v>
      </c>
      <c r="S7" s="29" t="str">
        <f aca="false">IF(R7="","",IF(R7="Late","Ask for a new ETA and tracking number",IF(R7="Ship overdue","Ask why it hasn't shipped; get a firm ship date",IF(R7="At risk","Confirm the ship date this week",IF(R7="Stale","Request a status update",IF(R7="Closed","-","No action needed"))))))</f>
        <v>Ask why it hasn't shipped; get a firm ship date</v>
      </c>
      <c r="T7" s="30" t="n">
        <f aca="false">IF(OR(A7="",N7="",M7=""),"",IF(N7=0,"",M7/N7))</f>
        <v>16.6666666666667</v>
      </c>
      <c r="U7" s="29" t="str">
        <f aca="false">IF(OR(T7="",I7="",R7="Closed"),"",IF(R7="Late","ETA passed: "&amp;ROUND(T7,0)&amp;" days of stock left",IF(Settings!$B$4+T7&lt;I7,"YES: "&amp;ROUND(I7-(Settings!$B$4+T7),0)&amp;" days short","No")))</f>
        <v>YES: 8 days short</v>
      </c>
      <c r="V7" s="31" t="n">
        <f aca="false">IF(R7="","",IF(OR(R7="Late",R7="Ship overdue",R7="Stale"),Settings!$B$4,IF(R7="At risk",Settings!$B$4+2,"")))</f>
        <v>46302</v>
      </c>
    </row>
    <row r="8" customFormat="false" ht="15" hidden="false" customHeight="false" outlineLevel="0" collapsed="false">
      <c r="A8" s="23" t="s">
        <v>84</v>
      </c>
      <c r="B8" s="23" t="s">
        <v>85</v>
      </c>
      <c r="C8" s="23" t="s">
        <v>86</v>
      </c>
      <c r="D8" s="23" t="s">
        <v>87</v>
      </c>
      <c r="E8" s="24" t="n">
        <v>1200</v>
      </c>
      <c r="F8" s="24" t="n">
        <v>0</v>
      </c>
      <c r="G8" s="25" t="n">
        <f aca="false">Settings!$B$4-35</f>
        <v>46267</v>
      </c>
      <c r="H8" s="25" t="n">
        <f aca="false">Settings!$B$4-1</f>
        <v>46301</v>
      </c>
      <c r="I8" s="25" t="n">
        <f aca="false">Settings!$B$4+30</f>
        <v>46332</v>
      </c>
      <c r="J8" s="25" t="n">
        <f aca="false">Settings!$B$4-4</f>
        <v>46298</v>
      </c>
      <c r="K8" s="23" t="s">
        <v>88</v>
      </c>
      <c r="L8" s="26" t="n">
        <v>5100</v>
      </c>
      <c r="M8" s="24" t="n">
        <v>220</v>
      </c>
      <c r="N8" s="24" t="n">
        <v>20</v>
      </c>
      <c r="O8" s="27" t="n">
        <f aca="false">IF(A8="","",MAX(E8-F8,0))</f>
        <v>1200</v>
      </c>
      <c r="P8" s="28" t="n">
        <f aca="false">IF(OR(A8="",I8=""),"",MAX(Settings!$B$4-I8,0))</f>
        <v>0</v>
      </c>
      <c r="Q8" s="28" t="n">
        <f aca="false">IF(OR(A8="",J8=""),"",Settings!$B$4-J8)</f>
        <v>4</v>
      </c>
      <c r="R8" s="29" t="str">
        <f aca="false">IF(A8="","",IF(OR(K8="Received",AND(E8&lt;&gt;"",O8=0)),"Closed",IF(AND(I8&lt;&gt;"",Settings!$B$4&gt;I8),"Late",IF(AND(H8&lt;&gt;"",Settings!$B$4&gt;H8,K8&lt;&gt;"Shipped"),"Ship overdue",IF(OR(K8="Delayed",AND(I8&lt;&gt;"",I8-Settings!$B$4&lt;=Settings!$B$5,K8&lt;&gt;"Shipped")),"At risk",IF(AND(Q8&lt;&gt;"",Q8&gt;Settings!$B$6),"Stale","On track"))))))</f>
        <v>Ship overdue</v>
      </c>
      <c r="S8" s="29" t="str">
        <f aca="false">IF(R8="","",IF(R8="Late","Ask for a new ETA and tracking number",IF(R8="Ship overdue","Ask why it hasn't shipped; get a firm ship date",IF(R8="At risk","Confirm the ship date this week",IF(R8="Stale","Request a status update",IF(R8="Closed","-","No action needed"))))))</f>
        <v>Ask why it hasn't shipped; get a firm ship date</v>
      </c>
      <c r="T8" s="30" t="n">
        <f aca="false">IF(OR(A8="",N8="",M8=""),"",IF(N8=0,"",M8/N8))</f>
        <v>11</v>
      </c>
      <c r="U8" s="29" t="str">
        <f aca="false">IF(OR(T8="",I8="",R8="Closed"),"",IF(R8="Late","ETA passed: "&amp;ROUND(T8,0)&amp;" days of stock left",IF(Settings!$B$4+T8&lt;I8,"YES: "&amp;ROUND(I8-(Settings!$B$4+T8),0)&amp;" days short","No")))</f>
        <v>YES: 19 days short</v>
      </c>
      <c r="V8" s="31" t="n">
        <f aca="false">IF(R8="","",IF(OR(R8="Late",R8="Ship overdue",R8="Stale"),Settings!$B$4,IF(R8="At risk",Settings!$B$4+2,"")))</f>
        <v>46302</v>
      </c>
    </row>
    <row r="9" customFormat="false" ht="15" hidden="false" customHeight="false" outlineLevel="0" collapsed="false">
      <c r="A9" s="23" t="s">
        <v>89</v>
      </c>
      <c r="B9" s="23" t="s">
        <v>77</v>
      </c>
      <c r="C9" s="23" t="s">
        <v>90</v>
      </c>
      <c r="D9" s="23" t="s">
        <v>79</v>
      </c>
      <c r="E9" s="24" t="n">
        <v>1800</v>
      </c>
      <c r="F9" s="24" t="n">
        <v>0</v>
      </c>
      <c r="G9" s="25" t="n">
        <f aca="false">Settings!$B$4-30</f>
        <v>46272</v>
      </c>
      <c r="H9" s="25" t="n">
        <f aca="false">Settings!$B$4+5</f>
        <v>46307</v>
      </c>
      <c r="I9" s="25" t="n">
        <f aca="false">Settings!$B$4+8</f>
        <v>46310</v>
      </c>
      <c r="J9" s="25" t="n">
        <f aca="false">Settings!$B$4-3</f>
        <v>46299</v>
      </c>
      <c r="K9" s="23" t="s">
        <v>91</v>
      </c>
      <c r="L9" s="26" t="n">
        <v>5400</v>
      </c>
      <c r="M9" s="24" t="n">
        <v>900</v>
      </c>
      <c r="N9" s="24" t="n">
        <v>20</v>
      </c>
      <c r="O9" s="27" t="n">
        <f aca="false">IF(A9="","",MAX(E9-F9,0))</f>
        <v>1800</v>
      </c>
      <c r="P9" s="28" t="n">
        <f aca="false">IF(OR(A9="",I9=""),"",MAX(Settings!$B$4-I9,0))</f>
        <v>0</v>
      </c>
      <c r="Q9" s="28" t="n">
        <f aca="false">IF(OR(A9="",J9=""),"",Settings!$B$4-J9)</f>
        <v>3</v>
      </c>
      <c r="R9" s="29" t="str">
        <f aca="false">IF(A9="","",IF(OR(K9="Received",AND(E9&lt;&gt;"",O9=0)),"Closed",IF(AND(I9&lt;&gt;"",Settings!$B$4&gt;I9),"Late",IF(AND(H9&lt;&gt;"",Settings!$B$4&gt;H9,K9&lt;&gt;"Shipped"),"Ship overdue",IF(OR(K9="Delayed",AND(I9&lt;&gt;"",I9-Settings!$B$4&lt;=Settings!$B$5,K9&lt;&gt;"Shipped")),"At risk",IF(AND(Q9&lt;&gt;"",Q9&gt;Settings!$B$6),"Stale","On track"))))))</f>
        <v>At risk</v>
      </c>
      <c r="S9" s="29" t="str">
        <f aca="false">IF(R9="","",IF(R9="Late","Ask for a new ETA and tracking number",IF(R9="Ship overdue","Ask why it hasn't shipped; get a firm ship date",IF(R9="At risk","Confirm the ship date this week",IF(R9="Stale","Request a status update",IF(R9="Closed","-","No action needed"))))))</f>
        <v>Confirm the ship date this week</v>
      </c>
      <c r="T9" s="30" t="n">
        <f aca="false">IF(OR(A9="",N9="",M9=""),"",IF(N9=0,"",M9/N9))</f>
        <v>45</v>
      </c>
      <c r="U9" s="29" t="str">
        <f aca="false">IF(OR(T9="",I9="",R9="Closed"),"",IF(R9="Late","ETA passed: "&amp;ROUND(T9,0)&amp;" days of stock left",IF(Settings!$B$4+T9&lt;I9,"YES: "&amp;ROUND(I9-(Settings!$B$4+T9),0)&amp;" days short","No")))</f>
        <v>No</v>
      </c>
      <c r="V9" s="31" t="n">
        <f aca="false">IF(R9="","",IF(OR(R9="Late",R9="Ship overdue",R9="Stale"),Settings!$B$4,IF(R9="At risk",Settings!$B$4+2,"")))</f>
        <v>46304</v>
      </c>
    </row>
    <row r="10" customFormat="false" ht="15" hidden="false" customHeight="false" outlineLevel="0" collapsed="false">
      <c r="A10" s="23" t="s">
        <v>92</v>
      </c>
      <c r="B10" s="23" t="s">
        <v>93</v>
      </c>
      <c r="C10" s="23" t="s">
        <v>94</v>
      </c>
      <c r="D10" s="23" t="s">
        <v>74</v>
      </c>
      <c r="E10" s="24" t="n">
        <v>800</v>
      </c>
      <c r="F10" s="24" t="n">
        <v>0</v>
      </c>
      <c r="G10" s="25" t="n">
        <f aca="false">Settings!$B$4-28</f>
        <v>46274</v>
      </c>
      <c r="H10" s="25" t="n">
        <f aca="false">Settings!$B$4+3</f>
        <v>46305</v>
      </c>
      <c r="I10" s="25" t="n">
        <f aca="false">Settings!$B$4+40</f>
        <v>46342</v>
      </c>
      <c r="J10" s="25" t="n">
        <f aca="false">Settings!$B$4-2</f>
        <v>46300</v>
      </c>
      <c r="K10" s="23" t="s">
        <v>80</v>
      </c>
      <c r="L10" s="26" t="n">
        <v>7200</v>
      </c>
      <c r="M10" s="24" t="n">
        <v>400</v>
      </c>
      <c r="N10" s="24" t="n">
        <v>10</v>
      </c>
      <c r="O10" s="27" t="n">
        <f aca="false">IF(A10="","",MAX(E10-F10,0))</f>
        <v>800</v>
      </c>
      <c r="P10" s="28" t="n">
        <f aca="false">IF(OR(A10="",I10=""),"",MAX(Settings!$B$4-I10,0))</f>
        <v>0</v>
      </c>
      <c r="Q10" s="28" t="n">
        <f aca="false">IF(OR(A10="",J10=""),"",Settings!$B$4-J10)</f>
        <v>2</v>
      </c>
      <c r="R10" s="29" t="str">
        <f aca="false">IF(A10="","",IF(OR(K10="Received",AND(E10&lt;&gt;"",O10=0)),"Closed",IF(AND(I10&lt;&gt;"",Settings!$B$4&gt;I10),"Late",IF(AND(H10&lt;&gt;"",Settings!$B$4&gt;H10,K10&lt;&gt;"Shipped"),"Ship overdue",IF(OR(K10="Delayed",AND(I10&lt;&gt;"",I10-Settings!$B$4&lt;=Settings!$B$5,K10&lt;&gt;"Shipped")),"At risk",IF(AND(Q10&lt;&gt;"",Q10&gt;Settings!$B$6),"Stale","On track"))))))</f>
        <v>At risk</v>
      </c>
      <c r="S10" s="29" t="str">
        <f aca="false">IF(R10="","",IF(R10="Late","Ask for a new ETA and tracking number",IF(R10="Ship overdue","Ask why it hasn't shipped; get a firm ship date",IF(R10="At risk","Confirm the ship date this week",IF(R10="Stale","Request a status update",IF(R10="Closed","-","No action needed"))))))</f>
        <v>Confirm the ship date this week</v>
      </c>
      <c r="T10" s="30" t="n">
        <f aca="false">IF(OR(A10="",N10="",M10=""),"",IF(N10=0,"",M10/N10))</f>
        <v>40</v>
      </c>
      <c r="U10" s="29" t="str">
        <f aca="false">IF(OR(T10="",I10="",R10="Closed"),"",IF(R10="Late","ETA passed: "&amp;ROUND(T10,0)&amp;" days of stock left",IF(Settings!$B$4+T10&lt;I10,"YES: "&amp;ROUND(I10-(Settings!$B$4+T10),0)&amp;" days short","No")))</f>
        <v>No</v>
      </c>
      <c r="V10" s="31" t="n">
        <f aca="false">IF(R10="","",IF(OR(R10="Late",R10="Ship overdue",R10="Stale"),Settings!$B$4,IF(R10="At risk",Settings!$B$4+2,"")))</f>
        <v>46304</v>
      </c>
    </row>
    <row r="11" customFormat="false" ht="15" hidden="false" customHeight="false" outlineLevel="0" collapsed="false">
      <c r="A11" s="23" t="s">
        <v>95</v>
      </c>
      <c r="B11" s="23" t="s">
        <v>85</v>
      </c>
      <c r="C11" s="23" t="s">
        <v>96</v>
      </c>
      <c r="D11" s="23" t="s">
        <v>87</v>
      </c>
      <c r="E11" s="24" t="n">
        <v>600</v>
      </c>
      <c r="F11" s="24" t="n">
        <v>0</v>
      </c>
      <c r="G11" s="25" t="n">
        <f aca="false">Settings!$B$4-25</f>
        <v>46277</v>
      </c>
      <c r="H11" s="25" t="n">
        <f aca="false">Settings!$B$4+10</f>
        <v>46312</v>
      </c>
      <c r="I11" s="25" t="n">
        <f aca="false">Settings!$B$4+45</f>
        <v>46347</v>
      </c>
      <c r="J11" s="25" t="n">
        <f aca="false">Settings!$B$4-11</f>
        <v>46291</v>
      </c>
      <c r="K11" s="23" t="s">
        <v>83</v>
      </c>
      <c r="L11" s="26" t="n">
        <v>3300</v>
      </c>
      <c r="M11" s="24" t="n">
        <v>600</v>
      </c>
      <c r="N11" s="24" t="n">
        <v>8</v>
      </c>
      <c r="O11" s="27" t="n">
        <f aca="false">IF(A11="","",MAX(E11-F11,0))</f>
        <v>600</v>
      </c>
      <c r="P11" s="28" t="n">
        <f aca="false">IF(OR(A11="",I11=""),"",MAX(Settings!$B$4-I11,0))</f>
        <v>0</v>
      </c>
      <c r="Q11" s="28" t="n">
        <f aca="false">IF(OR(A11="",J11=""),"",Settings!$B$4-J11)</f>
        <v>11</v>
      </c>
      <c r="R11" s="29" t="str">
        <f aca="false">IF(A11="","",IF(OR(K11="Received",AND(E11&lt;&gt;"",O11=0)),"Closed",IF(AND(I11&lt;&gt;"",Settings!$B$4&gt;I11),"Late",IF(AND(H11&lt;&gt;"",Settings!$B$4&gt;H11,K11&lt;&gt;"Shipped"),"Ship overdue",IF(OR(K11="Delayed",AND(I11&lt;&gt;"",I11-Settings!$B$4&lt;=Settings!$B$5,K11&lt;&gt;"Shipped")),"At risk",IF(AND(Q11&lt;&gt;"",Q11&gt;Settings!$B$6),"Stale","On track"))))))</f>
        <v>Stale</v>
      </c>
      <c r="S11" s="29" t="str">
        <f aca="false">IF(R11="","",IF(R11="Late","Ask for a new ETA and tracking number",IF(R11="Ship overdue","Ask why it hasn't shipped; get a firm ship date",IF(R11="At risk","Confirm the ship date this week",IF(R11="Stale","Request a status update",IF(R11="Closed","-","No action needed"))))))</f>
        <v>Request a status update</v>
      </c>
      <c r="T11" s="30" t="n">
        <f aca="false">IF(OR(A11="",N11="",M11=""),"",IF(N11=0,"",M11/N11))</f>
        <v>75</v>
      </c>
      <c r="U11" s="29" t="str">
        <f aca="false">IF(OR(T11="",I11="",R11="Closed"),"",IF(R11="Late","ETA passed: "&amp;ROUND(T11,0)&amp;" days of stock left",IF(Settings!$B$4+T11&lt;I11,"YES: "&amp;ROUND(I11-(Settings!$B$4+T11),0)&amp;" days short","No")))</f>
        <v>No</v>
      </c>
      <c r="V11" s="31" t="n">
        <f aca="false">IF(R11="","",IF(OR(R11="Late",R11="Ship overdue",R11="Stale"),Settings!$B$4,IF(R11="At risk",Settings!$B$4+2,"")))</f>
        <v>46302</v>
      </c>
    </row>
    <row r="12" customFormat="false" ht="15" hidden="false" customHeight="false" outlineLevel="0" collapsed="false">
      <c r="A12" s="23" t="s">
        <v>97</v>
      </c>
      <c r="B12" s="23" t="s">
        <v>72</v>
      </c>
      <c r="C12" s="23" t="s">
        <v>98</v>
      </c>
      <c r="D12" s="23" t="s">
        <v>74</v>
      </c>
      <c r="E12" s="24" t="n">
        <v>2500</v>
      </c>
      <c r="F12" s="24" t="n">
        <v>0</v>
      </c>
      <c r="G12" s="25" t="n">
        <f aca="false">Settings!$B$4-20</f>
        <v>46282</v>
      </c>
      <c r="H12" s="25" t="n">
        <f aca="false">Settings!$B$4+15</f>
        <v>46317</v>
      </c>
      <c r="I12" s="25" t="n">
        <f aca="false">Settings!$B$4+50</f>
        <v>46352</v>
      </c>
      <c r="J12" s="25" t="n">
        <f aca="false">Settings!$B$4-3</f>
        <v>46299</v>
      </c>
      <c r="K12" s="23" t="s">
        <v>83</v>
      </c>
      <c r="L12" s="26" t="n">
        <v>2750</v>
      </c>
      <c r="M12" s="24" t="n">
        <v>1200</v>
      </c>
      <c r="N12" s="24" t="n">
        <v>25</v>
      </c>
      <c r="O12" s="27" t="n">
        <f aca="false">IF(A12="","",MAX(E12-F12,0))</f>
        <v>2500</v>
      </c>
      <c r="P12" s="28" t="n">
        <f aca="false">IF(OR(A12="",I12=""),"",MAX(Settings!$B$4-I12,0))</f>
        <v>0</v>
      </c>
      <c r="Q12" s="28" t="n">
        <f aca="false">IF(OR(A12="",J12=""),"",Settings!$B$4-J12)</f>
        <v>3</v>
      </c>
      <c r="R12" s="29" t="str">
        <f aca="false">IF(A12="","",IF(OR(K12="Received",AND(E12&lt;&gt;"",O12=0)),"Closed",IF(AND(I12&lt;&gt;"",Settings!$B$4&gt;I12),"Late",IF(AND(H12&lt;&gt;"",Settings!$B$4&gt;H12,K12&lt;&gt;"Shipped"),"Ship overdue",IF(OR(K12="Delayed",AND(I12&lt;&gt;"",I12-Settings!$B$4&lt;=Settings!$B$5,K12&lt;&gt;"Shipped")),"At risk",IF(AND(Q12&lt;&gt;"",Q12&gt;Settings!$B$6),"Stale","On track"))))))</f>
        <v>On track</v>
      </c>
      <c r="S12" s="29" t="str">
        <f aca="false">IF(R12="","",IF(R12="Late","Ask for a new ETA and tracking number",IF(R12="Ship overdue","Ask why it hasn't shipped; get a firm ship date",IF(R12="At risk","Confirm the ship date this week",IF(R12="Stale","Request a status update",IF(R12="Closed","-","No action needed"))))))</f>
        <v>No action needed</v>
      </c>
      <c r="T12" s="30" t="n">
        <f aca="false">IF(OR(A12="",N12="",M12=""),"",IF(N12=0,"",M12/N12))</f>
        <v>48</v>
      </c>
      <c r="U12" s="29" t="str">
        <f aca="false">IF(OR(T12="",I12="",R12="Closed"),"",IF(R12="Late","ETA passed: "&amp;ROUND(T12,0)&amp;" days of stock left",IF(Settings!$B$4+T12&lt;I12,"YES: "&amp;ROUND(I12-(Settings!$B$4+T12),0)&amp;" days short","No")))</f>
        <v>YES: 2 days short</v>
      </c>
      <c r="V12" s="31" t="str">
        <f aca="false">IF(R12="","",IF(OR(R12="Late",R12="Ship overdue",R12="Stale"),Settings!$B$4,IF(R12="At risk",Settings!$B$4+2,"")))</f>
        <v/>
      </c>
    </row>
    <row r="13" customFormat="false" ht="15" hidden="false" customHeight="false" outlineLevel="0" collapsed="false">
      <c r="A13" s="23" t="s">
        <v>99</v>
      </c>
      <c r="B13" s="23" t="s">
        <v>93</v>
      </c>
      <c r="C13" s="23" t="s">
        <v>100</v>
      </c>
      <c r="D13" s="23" t="s">
        <v>74</v>
      </c>
      <c r="E13" s="24" t="n">
        <v>500</v>
      </c>
      <c r="F13" s="24" t="n">
        <v>0</v>
      </c>
      <c r="G13" s="25" t="n">
        <f aca="false">Settings!$B$4-15</f>
        <v>46287</v>
      </c>
      <c r="H13" s="25" t="n">
        <f aca="false">Settings!$B$4+20</f>
        <v>46322</v>
      </c>
      <c r="I13" s="25" t="n">
        <f aca="false">Settings!$B$4+55</f>
        <v>46357</v>
      </c>
      <c r="J13" s="25" t="n">
        <f aca="false">Settings!$B$4-1</f>
        <v>46301</v>
      </c>
      <c r="K13" s="23" t="s">
        <v>91</v>
      </c>
      <c r="L13" s="26" t="n">
        <v>6000</v>
      </c>
      <c r="M13" s="24" t="n">
        <v>700</v>
      </c>
      <c r="N13" s="24" t="n">
        <v>5</v>
      </c>
      <c r="O13" s="27" t="n">
        <f aca="false">IF(A13="","",MAX(E13-F13,0))</f>
        <v>500</v>
      </c>
      <c r="P13" s="28" t="n">
        <f aca="false">IF(OR(A13="",I13=""),"",MAX(Settings!$B$4-I13,0))</f>
        <v>0</v>
      </c>
      <c r="Q13" s="28" t="n">
        <f aca="false">IF(OR(A13="",J13=""),"",Settings!$B$4-J13)</f>
        <v>1</v>
      </c>
      <c r="R13" s="29" t="str">
        <f aca="false">IF(A13="","",IF(OR(K13="Received",AND(E13&lt;&gt;"",O13=0)),"Closed",IF(AND(I13&lt;&gt;"",Settings!$B$4&gt;I13),"Late",IF(AND(H13&lt;&gt;"",Settings!$B$4&gt;H13,K13&lt;&gt;"Shipped"),"Ship overdue",IF(OR(K13="Delayed",AND(I13&lt;&gt;"",I13-Settings!$B$4&lt;=Settings!$B$5,K13&lt;&gt;"Shipped")),"At risk",IF(AND(Q13&lt;&gt;"",Q13&gt;Settings!$B$6),"Stale","On track"))))))</f>
        <v>On track</v>
      </c>
      <c r="S13" s="29" t="str">
        <f aca="false">IF(R13="","",IF(R13="Late","Ask for a new ETA and tracking number",IF(R13="Ship overdue","Ask why it hasn't shipped; get a firm ship date",IF(R13="At risk","Confirm the ship date this week",IF(R13="Stale","Request a status update",IF(R13="Closed","-","No action needed"))))))</f>
        <v>No action needed</v>
      </c>
      <c r="T13" s="30" t="n">
        <f aca="false">IF(OR(A13="",N13="",M13=""),"",IF(N13=0,"",M13/N13))</f>
        <v>140</v>
      </c>
      <c r="U13" s="29" t="str">
        <f aca="false">IF(OR(T13="",I13="",R13="Closed"),"",IF(R13="Late","ETA passed: "&amp;ROUND(T13,0)&amp;" days of stock left",IF(Settings!$B$4+T13&lt;I13,"YES: "&amp;ROUND(I13-(Settings!$B$4+T13),0)&amp;" days short","No")))</f>
        <v>No</v>
      </c>
      <c r="V13" s="31" t="str">
        <f aca="false">IF(R13="","",IF(OR(R13="Late",R13="Ship overdue",R13="Stale"),Settings!$B$4,IF(R13="At risk",Settings!$B$4+2,"")))</f>
        <v/>
      </c>
    </row>
    <row r="14" customFormat="false" ht="15" hidden="false" customHeight="false" outlineLevel="0" collapsed="false">
      <c r="A14" s="23" t="s">
        <v>101</v>
      </c>
      <c r="B14" s="23" t="s">
        <v>77</v>
      </c>
      <c r="C14" s="23" t="s">
        <v>102</v>
      </c>
      <c r="D14" s="23" t="s">
        <v>79</v>
      </c>
      <c r="E14" s="24" t="n">
        <v>3000</v>
      </c>
      <c r="F14" s="24" t="n">
        <v>0</v>
      </c>
      <c r="G14" s="25" t="n">
        <f aca="false">Settings!$B$4-10</f>
        <v>46292</v>
      </c>
      <c r="H14" s="25" t="n">
        <f aca="false">Settings!$B$4+25</f>
        <v>46327</v>
      </c>
      <c r="I14" s="25" t="n">
        <f aca="false">Settings!$B$4+60</f>
        <v>46362</v>
      </c>
      <c r="J14" s="25" t="n">
        <f aca="false">Settings!$B$4-2</f>
        <v>46300</v>
      </c>
      <c r="K14" s="23" t="s">
        <v>91</v>
      </c>
      <c r="L14" s="26" t="n">
        <v>1800</v>
      </c>
      <c r="M14" s="24" t="n">
        <v>2000</v>
      </c>
      <c r="N14" s="24" t="n">
        <v>30</v>
      </c>
      <c r="O14" s="27" t="n">
        <f aca="false">IF(A14="","",MAX(E14-F14,0))</f>
        <v>3000</v>
      </c>
      <c r="P14" s="28" t="n">
        <f aca="false">IF(OR(A14="",I14=""),"",MAX(Settings!$B$4-I14,0))</f>
        <v>0</v>
      </c>
      <c r="Q14" s="28" t="n">
        <f aca="false">IF(OR(A14="",J14=""),"",Settings!$B$4-J14)</f>
        <v>2</v>
      </c>
      <c r="R14" s="29" t="str">
        <f aca="false">IF(A14="","",IF(OR(K14="Received",AND(E14&lt;&gt;"",O14=0)),"Closed",IF(AND(I14&lt;&gt;"",Settings!$B$4&gt;I14),"Late",IF(AND(H14&lt;&gt;"",Settings!$B$4&gt;H14,K14&lt;&gt;"Shipped"),"Ship overdue",IF(OR(K14="Delayed",AND(I14&lt;&gt;"",I14-Settings!$B$4&lt;=Settings!$B$5,K14&lt;&gt;"Shipped")),"At risk",IF(AND(Q14&lt;&gt;"",Q14&gt;Settings!$B$6),"Stale","On track"))))))</f>
        <v>On track</v>
      </c>
      <c r="S14" s="29" t="str">
        <f aca="false">IF(R14="","",IF(R14="Late","Ask for a new ETA and tracking number",IF(R14="Ship overdue","Ask why it hasn't shipped; get a firm ship date",IF(R14="At risk","Confirm the ship date this week",IF(R14="Stale","Request a status update",IF(R14="Closed","-","No action needed"))))))</f>
        <v>No action needed</v>
      </c>
      <c r="T14" s="30" t="n">
        <f aca="false">IF(OR(A14="",N14="",M14=""),"",IF(N14=0,"",M14/N14))</f>
        <v>66.6666666666667</v>
      </c>
      <c r="U14" s="29" t="str">
        <f aca="false">IF(OR(T14="",I14="",R14="Closed"),"",IF(R14="Late","ETA passed: "&amp;ROUND(T14,0)&amp;" days of stock left",IF(Settings!$B$4+T14&lt;I14,"YES: "&amp;ROUND(I14-(Settings!$B$4+T14),0)&amp;" days short","No")))</f>
        <v>No</v>
      </c>
      <c r="V14" s="31" t="str">
        <f aca="false">IF(R14="","",IF(OR(R14="Late",R14="Ship overdue",R14="Stale"),Settings!$B$4,IF(R14="At risk",Settings!$B$4+2,"")))</f>
        <v/>
      </c>
    </row>
    <row r="15" customFormat="false" ht="15" hidden="false" customHeight="false" outlineLevel="0" collapsed="false">
      <c r="A15" s="23" t="s">
        <v>103</v>
      </c>
      <c r="B15" s="23" t="s">
        <v>85</v>
      </c>
      <c r="C15" s="23" t="s">
        <v>104</v>
      </c>
      <c r="D15" s="23" t="s">
        <v>87</v>
      </c>
      <c r="E15" s="24" t="n">
        <v>1500</v>
      </c>
      <c r="F15" s="24" t="n">
        <v>1500</v>
      </c>
      <c r="G15" s="25" t="n">
        <f aca="false">Settings!$B$4-90</f>
        <v>46212</v>
      </c>
      <c r="H15" s="25" t="n">
        <f aca="false">Settings!$B$4-50</f>
        <v>46252</v>
      </c>
      <c r="I15" s="25" t="n">
        <f aca="false">Settings!$B$4-15</f>
        <v>46287</v>
      </c>
      <c r="J15" s="25" t="n">
        <f aca="false">Settings!$B$4-16</f>
        <v>46286</v>
      </c>
      <c r="K15" s="23" t="s">
        <v>105</v>
      </c>
      <c r="L15" s="26" t="n">
        <v>4500</v>
      </c>
      <c r="M15" s="24" t="n">
        <v>800</v>
      </c>
      <c r="N15" s="24" t="n">
        <v>20</v>
      </c>
      <c r="O15" s="27" t="n">
        <f aca="false">IF(A15="","",MAX(E15-F15,0))</f>
        <v>0</v>
      </c>
      <c r="P15" s="28" t="n">
        <f aca="false">IF(OR(A15="",I15=""),"",MAX(Settings!$B$4-I15,0))</f>
        <v>15</v>
      </c>
      <c r="Q15" s="28" t="n">
        <f aca="false">IF(OR(A15="",J15=""),"",Settings!$B$4-J15)</f>
        <v>16</v>
      </c>
      <c r="R15" s="29" t="str">
        <f aca="false">IF(A15="","",IF(OR(K15="Received",AND(E15&lt;&gt;"",O15=0)),"Closed",IF(AND(I15&lt;&gt;"",Settings!$B$4&gt;I15),"Late",IF(AND(H15&lt;&gt;"",Settings!$B$4&gt;H15,K15&lt;&gt;"Shipped"),"Ship overdue",IF(OR(K15="Delayed",AND(I15&lt;&gt;"",I15-Settings!$B$4&lt;=Settings!$B$5,K15&lt;&gt;"Shipped")),"At risk",IF(AND(Q15&lt;&gt;"",Q15&gt;Settings!$B$6),"Stale","On track"))))))</f>
        <v>Closed</v>
      </c>
      <c r="S15" s="29" t="str">
        <f aca="false">IF(R15="","",IF(R15="Late","Ask for a new ETA and tracking number",IF(R15="Ship overdue","Ask why it hasn't shipped; get a firm ship date",IF(R15="At risk","Confirm the ship date this week",IF(R15="Stale","Request a status update",IF(R15="Closed","-","No action needed"))))))</f>
        <v>-</v>
      </c>
      <c r="T15" s="30" t="n">
        <f aca="false">IF(OR(A15="",N15="",M15=""),"",IF(N15=0,"",M15/N15))</f>
        <v>40</v>
      </c>
      <c r="U15" s="29" t="str">
        <f aca="false">IF(OR(T15="",I15="",R15="Closed"),"",IF(R15="Late","ETA passed: "&amp;ROUND(T15,0)&amp;" days of stock left",IF(Settings!$B$4+T15&lt;I15,"YES: "&amp;ROUND(I15-(Settings!$B$4+T15),0)&amp;" days short","No")))</f>
        <v/>
      </c>
      <c r="V15" s="31" t="str">
        <f aca="false">IF(R15="","",IF(OR(R15="Late",R15="Ship overdue",R15="Stale"),Settings!$B$4,IF(R15="At risk",Settings!$B$4+2,"")))</f>
        <v/>
      </c>
    </row>
    <row r="16" customFormat="false" ht="15" hidden="false" customHeight="false" outlineLevel="0" collapsed="false">
      <c r="A16" s="23" t="s">
        <v>106</v>
      </c>
      <c r="B16" s="23" t="s">
        <v>72</v>
      </c>
      <c r="C16" s="23" t="s">
        <v>107</v>
      </c>
      <c r="D16" s="23" t="s">
        <v>74</v>
      </c>
      <c r="E16" s="24" t="n">
        <v>1000</v>
      </c>
      <c r="F16" s="24" t="n">
        <v>1000</v>
      </c>
      <c r="G16" s="25" t="n">
        <f aca="false">Settings!$B$4-80</f>
        <v>46222</v>
      </c>
      <c r="H16" s="25" t="n">
        <f aca="false">Settings!$B$4-40</f>
        <v>46262</v>
      </c>
      <c r="I16" s="25" t="n">
        <f aca="false">Settings!$B$4-10</f>
        <v>46292</v>
      </c>
      <c r="J16" s="25" t="n">
        <f aca="false">Settings!$B$4-12</f>
        <v>46290</v>
      </c>
      <c r="K16" s="23" t="s">
        <v>105</v>
      </c>
      <c r="L16" s="26" t="n">
        <v>2300</v>
      </c>
      <c r="M16" s="24" t="n">
        <v>600</v>
      </c>
      <c r="N16" s="24" t="n">
        <v>15</v>
      </c>
      <c r="O16" s="27" t="n">
        <f aca="false">IF(A16="","",MAX(E16-F16,0))</f>
        <v>0</v>
      </c>
      <c r="P16" s="28" t="n">
        <f aca="false">IF(OR(A16="",I16=""),"",MAX(Settings!$B$4-I16,0))</f>
        <v>10</v>
      </c>
      <c r="Q16" s="28" t="n">
        <f aca="false">IF(OR(A16="",J16=""),"",Settings!$B$4-J16)</f>
        <v>12</v>
      </c>
      <c r="R16" s="29" t="str">
        <f aca="false">IF(A16="","",IF(OR(K16="Received",AND(E16&lt;&gt;"",O16=0)),"Closed",IF(AND(I16&lt;&gt;"",Settings!$B$4&gt;I16),"Late",IF(AND(H16&lt;&gt;"",Settings!$B$4&gt;H16,K16&lt;&gt;"Shipped"),"Ship overdue",IF(OR(K16="Delayed",AND(I16&lt;&gt;"",I16-Settings!$B$4&lt;=Settings!$B$5,K16&lt;&gt;"Shipped")),"At risk",IF(AND(Q16&lt;&gt;"",Q16&gt;Settings!$B$6),"Stale","On track"))))))</f>
        <v>Closed</v>
      </c>
      <c r="S16" s="29" t="str">
        <f aca="false">IF(R16="","",IF(R16="Late","Ask for a new ETA and tracking number",IF(R16="Ship overdue","Ask why it hasn't shipped; get a firm ship date",IF(R16="At risk","Confirm the ship date this week",IF(R16="Stale","Request a status update",IF(R16="Closed","-","No action needed"))))))</f>
        <v>-</v>
      </c>
      <c r="T16" s="30" t="n">
        <f aca="false">IF(OR(A16="",N16="",M16=""),"",IF(N16=0,"",M16/N16))</f>
        <v>40</v>
      </c>
      <c r="U16" s="29" t="str">
        <f aca="false">IF(OR(T16="",I16="",R16="Closed"),"",IF(R16="Late","ETA passed: "&amp;ROUND(T16,0)&amp;" days of stock left",IF(Settings!$B$4+T16&lt;I16,"YES: "&amp;ROUND(I16-(Settings!$B$4+T16),0)&amp;" days short","No")))</f>
        <v/>
      </c>
      <c r="V16" s="31" t="str">
        <f aca="false">IF(R16="","",IF(OR(R16="Late",R16="Ship overdue",R16="Stale"),Settings!$B$4,IF(R16="At risk",Settings!$B$4+2,"")))</f>
        <v/>
      </c>
    </row>
    <row r="17" customFormat="false" ht="15" hidden="false" customHeight="false" outlineLevel="0" collapsed="false">
      <c r="A17" s="32"/>
      <c r="B17" s="32"/>
      <c r="C17" s="32"/>
      <c r="D17" s="32"/>
      <c r="E17" s="33"/>
      <c r="F17" s="33"/>
      <c r="G17" s="34"/>
      <c r="H17" s="34"/>
      <c r="I17" s="34"/>
      <c r="J17" s="34"/>
      <c r="K17" s="32"/>
      <c r="L17" s="35"/>
      <c r="M17" s="33"/>
      <c r="N17" s="33"/>
      <c r="O17" s="27" t="str">
        <f aca="false">IF(A17="","",MAX(E17-F17,0))</f>
        <v/>
      </c>
      <c r="P17" s="28" t="str">
        <f aca="false">IF(OR(A17="",I17=""),"",MAX(Settings!$B$4-I17,0))</f>
        <v/>
      </c>
      <c r="Q17" s="28" t="str">
        <f aca="false">IF(OR(A17="",J17=""),"",Settings!$B$4-J17)</f>
        <v/>
      </c>
      <c r="R17" s="29" t="str">
        <f aca="false">IF(A17="","",IF(OR(K17="Received",AND(E17&lt;&gt;"",O17=0)),"Closed",IF(AND(I17&lt;&gt;"",Settings!$B$4&gt;I17),"Late",IF(AND(H17&lt;&gt;"",Settings!$B$4&gt;H17,K17&lt;&gt;"Shipped"),"Ship overdue",IF(OR(K17="Delayed",AND(I17&lt;&gt;"",I17-Settings!$B$4&lt;=Settings!$B$5,K17&lt;&gt;"Shipped")),"At risk",IF(AND(Q17&lt;&gt;"",Q17&gt;Settings!$B$6),"Stale","On track"))))))</f>
        <v/>
      </c>
      <c r="S17" s="29" t="str">
        <f aca="false">IF(R17="","",IF(R17="Late","Ask for a new ETA and tracking number",IF(R17="Ship overdue","Ask why it hasn't shipped; get a firm ship date",IF(R17="At risk","Confirm the ship date this week",IF(R17="Stale","Request a status update",IF(R17="Closed","-","No action needed"))))))</f>
        <v/>
      </c>
      <c r="T17" s="30" t="str">
        <f aca="false">IF(OR(A17="",N17="",M17=""),"",IF(N17=0,"",M17/N17))</f>
        <v/>
      </c>
      <c r="U17" s="29" t="str">
        <f aca="false">IF(OR(T17="",I17="",R17="Closed"),"",IF(R17="Late","ETA passed: "&amp;ROUND(T17,0)&amp;" days of stock left",IF(Settings!$B$4+T17&lt;I17,"YES: "&amp;ROUND(I17-(Settings!$B$4+T17),0)&amp;" days short","No")))</f>
        <v/>
      </c>
      <c r="V17" s="31" t="str">
        <f aca="false">IF(R17="","",IF(OR(R17="Late",R17="Ship overdue",R17="Stale"),Settings!$B$4,IF(R17="At risk",Settings!$B$4+2,"")))</f>
        <v/>
      </c>
    </row>
    <row r="18" customFormat="false" ht="15" hidden="false" customHeight="false" outlineLevel="0" collapsed="false">
      <c r="A18" s="32"/>
      <c r="B18" s="32"/>
      <c r="C18" s="32"/>
      <c r="D18" s="32"/>
      <c r="E18" s="33"/>
      <c r="F18" s="33"/>
      <c r="G18" s="34"/>
      <c r="H18" s="34"/>
      <c r="I18" s="34"/>
      <c r="J18" s="34"/>
      <c r="K18" s="32"/>
      <c r="L18" s="35"/>
      <c r="M18" s="33"/>
      <c r="N18" s="33"/>
      <c r="O18" s="27" t="str">
        <f aca="false">IF(A18="","",MAX(E18-F18,0))</f>
        <v/>
      </c>
      <c r="P18" s="28" t="str">
        <f aca="false">IF(OR(A18="",I18=""),"",MAX(Settings!$B$4-I18,0))</f>
        <v/>
      </c>
      <c r="Q18" s="28" t="str">
        <f aca="false">IF(OR(A18="",J18=""),"",Settings!$B$4-J18)</f>
        <v/>
      </c>
      <c r="R18" s="29" t="str">
        <f aca="false">IF(A18="","",IF(OR(K18="Received",AND(E18&lt;&gt;"",O18=0)),"Closed",IF(AND(I18&lt;&gt;"",Settings!$B$4&gt;I18),"Late",IF(AND(H18&lt;&gt;"",Settings!$B$4&gt;H18,K18&lt;&gt;"Shipped"),"Ship overdue",IF(OR(K18="Delayed",AND(I18&lt;&gt;"",I18-Settings!$B$4&lt;=Settings!$B$5,K18&lt;&gt;"Shipped")),"At risk",IF(AND(Q18&lt;&gt;"",Q18&gt;Settings!$B$6),"Stale","On track"))))))</f>
        <v/>
      </c>
      <c r="S18" s="29" t="str">
        <f aca="false">IF(R18="","",IF(R18="Late","Ask for a new ETA and tracking number",IF(R18="Ship overdue","Ask why it hasn't shipped; get a firm ship date",IF(R18="At risk","Confirm the ship date this week",IF(R18="Stale","Request a status update",IF(R18="Closed","-","No action needed"))))))</f>
        <v/>
      </c>
      <c r="T18" s="30" t="str">
        <f aca="false">IF(OR(A18="",N18="",M18=""),"",IF(N18=0,"",M18/N18))</f>
        <v/>
      </c>
      <c r="U18" s="29" t="str">
        <f aca="false">IF(OR(T18="",I18="",R18="Closed"),"",IF(R18="Late","ETA passed: "&amp;ROUND(T18,0)&amp;" days of stock left",IF(Settings!$B$4+T18&lt;I18,"YES: "&amp;ROUND(I18-(Settings!$B$4+T18),0)&amp;" days short","No")))</f>
        <v/>
      </c>
      <c r="V18" s="31" t="str">
        <f aca="false">IF(R18="","",IF(OR(R18="Late",R18="Ship overdue",R18="Stale"),Settings!$B$4,IF(R18="At risk",Settings!$B$4+2,"")))</f>
        <v/>
      </c>
    </row>
    <row r="19" customFormat="false" ht="15" hidden="false" customHeight="false" outlineLevel="0" collapsed="false">
      <c r="A19" s="32"/>
      <c r="B19" s="32"/>
      <c r="C19" s="32"/>
      <c r="D19" s="32"/>
      <c r="E19" s="33"/>
      <c r="F19" s="33"/>
      <c r="G19" s="34"/>
      <c r="H19" s="34"/>
      <c r="I19" s="34"/>
      <c r="J19" s="34"/>
      <c r="K19" s="32"/>
      <c r="L19" s="35"/>
      <c r="M19" s="33"/>
      <c r="N19" s="33"/>
      <c r="O19" s="27" t="str">
        <f aca="false">IF(A19="","",MAX(E19-F19,0))</f>
        <v/>
      </c>
      <c r="P19" s="28" t="str">
        <f aca="false">IF(OR(A19="",I19=""),"",MAX(Settings!$B$4-I19,0))</f>
        <v/>
      </c>
      <c r="Q19" s="28" t="str">
        <f aca="false">IF(OR(A19="",J19=""),"",Settings!$B$4-J19)</f>
        <v/>
      </c>
      <c r="R19" s="29" t="str">
        <f aca="false">IF(A19="","",IF(OR(K19="Received",AND(E19&lt;&gt;"",O19=0)),"Closed",IF(AND(I19&lt;&gt;"",Settings!$B$4&gt;I19),"Late",IF(AND(H19&lt;&gt;"",Settings!$B$4&gt;H19,K19&lt;&gt;"Shipped"),"Ship overdue",IF(OR(K19="Delayed",AND(I19&lt;&gt;"",I19-Settings!$B$4&lt;=Settings!$B$5,K19&lt;&gt;"Shipped")),"At risk",IF(AND(Q19&lt;&gt;"",Q19&gt;Settings!$B$6),"Stale","On track"))))))</f>
        <v/>
      </c>
      <c r="S19" s="29" t="str">
        <f aca="false">IF(R19="","",IF(R19="Late","Ask for a new ETA and tracking number",IF(R19="Ship overdue","Ask why it hasn't shipped; get a firm ship date",IF(R19="At risk","Confirm the ship date this week",IF(R19="Stale","Request a status update",IF(R19="Closed","-","No action needed"))))))</f>
        <v/>
      </c>
      <c r="T19" s="30" t="str">
        <f aca="false">IF(OR(A19="",N19="",M19=""),"",IF(N19=0,"",M19/N19))</f>
        <v/>
      </c>
      <c r="U19" s="29" t="str">
        <f aca="false">IF(OR(T19="",I19="",R19="Closed"),"",IF(R19="Late","ETA passed: "&amp;ROUND(T19,0)&amp;" days of stock left",IF(Settings!$B$4+T19&lt;I19,"YES: "&amp;ROUND(I19-(Settings!$B$4+T19),0)&amp;" days short","No")))</f>
        <v/>
      </c>
      <c r="V19" s="31" t="str">
        <f aca="false">IF(R19="","",IF(OR(R19="Late",R19="Ship overdue",R19="Stale"),Settings!$B$4,IF(R19="At risk",Settings!$B$4+2,"")))</f>
        <v/>
      </c>
    </row>
    <row r="20" customFormat="false" ht="15" hidden="false" customHeight="false" outlineLevel="0" collapsed="false">
      <c r="A20" s="32"/>
      <c r="B20" s="32"/>
      <c r="C20" s="32"/>
      <c r="D20" s="32"/>
      <c r="E20" s="33"/>
      <c r="F20" s="33"/>
      <c r="G20" s="34"/>
      <c r="H20" s="34"/>
      <c r="I20" s="34"/>
      <c r="J20" s="34"/>
      <c r="K20" s="32"/>
      <c r="L20" s="35"/>
      <c r="M20" s="33"/>
      <c r="N20" s="33"/>
      <c r="O20" s="27" t="str">
        <f aca="false">IF(A20="","",MAX(E20-F20,0))</f>
        <v/>
      </c>
      <c r="P20" s="28" t="str">
        <f aca="false">IF(OR(A20="",I20=""),"",MAX(Settings!$B$4-I20,0))</f>
        <v/>
      </c>
      <c r="Q20" s="28" t="str">
        <f aca="false">IF(OR(A20="",J20=""),"",Settings!$B$4-J20)</f>
        <v/>
      </c>
      <c r="R20" s="29" t="str">
        <f aca="false">IF(A20="","",IF(OR(K20="Received",AND(E20&lt;&gt;"",O20=0)),"Closed",IF(AND(I20&lt;&gt;"",Settings!$B$4&gt;I20),"Late",IF(AND(H20&lt;&gt;"",Settings!$B$4&gt;H20,K20&lt;&gt;"Shipped"),"Ship overdue",IF(OR(K20="Delayed",AND(I20&lt;&gt;"",I20-Settings!$B$4&lt;=Settings!$B$5,K20&lt;&gt;"Shipped")),"At risk",IF(AND(Q20&lt;&gt;"",Q20&gt;Settings!$B$6),"Stale","On track"))))))</f>
        <v/>
      </c>
      <c r="S20" s="29" t="str">
        <f aca="false">IF(R20="","",IF(R20="Late","Ask for a new ETA and tracking number",IF(R20="Ship overdue","Ask why it hasn't shipped; get a firm ship date",IF(R20="At risk","Confirm the ship date this week",IF(R20="Stale","Request a status update",IF(R20="Closed","-","No action needed"))))))</f>
        <v/>
      </c>
      <c r="T20" s="30" t="str">
        <f aca="false">IF(OR(A20="",N20="",M20=""),"",IF(N20=0,"",M20/N20))</f>
        <v/>
      </c>
      <c r="U20" s="29" t="str">
        <f aca="false">IF(OR(T20="",I20="",R20="Closed"),"",IF(R20="Late","ETA passed: "&amp;ROUND(T20,0)&amp;" days of stock left",IF(Settings!$B$4+T20&lt;I20,"YES: "&amp;ROUND(I20-(Settings!$B$4+T20),0)&amp;" days short","No")))</f>
        <v/>
      </c>
      <c r="V20" s="31" t="str">
        <f aca="false">IF(R20="","",IF(OR(R20="Late",R20="Ship overdue",R20="Stale"),Settings!$B$4,IF(R20="At risk",Settings!$B$4+2,"")))</f>
        <v/>
      </c>
    </row>
    <row r="21" customFormat="false" ht="15" hidden="false" customHeight="false" outlineLevel="0" collapsed="false">
      <c r="A21" s="32"/>
      <c r="B21" s="32"/>
      <c r="C21" s="32"/>
      <c r="D21" s="32"/>
      <c r="E21" s="33"/>
      <c r="F21" s="33"/>
      <c r="G21" s="34"/>
      <c r="H21" s="34"/>
      <c r="I21" s="34"/>
      <c r="J21" s="34"/>
      <c r="K21" s="32"/>
      <c r="L21" s="35"/>
      <c r="M21" s="33"/>
      <c r="N21" s="33"/>
      <c r="O21" s="27" t="str">
        <f aca="false">IF(A21="","",MAX(E21-F21,0))</f>
        <v/>
      </c>
      <c r="P21" s="28" t="str">
        <f aca="false">IF(OR(A21="",I21=""),"",MAX(Settings!$B$4-I21,0))</f>
        <v/>
      </c>
      <c r="Q21" s="28" t="str">
        <f aca="false">IF(OR(A21="",J21=""),"",Settings!$B$4-J21)</f>
        <v/>
      </c>
      <c r="R21" s="29" t="str">
        <f aca="false">IF(A21="","",IF(OR(K21="Received",AND(E21&lt;&gt;"",O21=0)),"Closed",IF(AND(I21&lt;&gt;"",Settings!$B$4&gt;I21),"Late",IF(AND(H21&lt;&gt;"",Settings!$B$4&gt;H21,K21&lt;&gt;"Shipped"),"Ship overdue",IF(OR(K21="Delayed",AND(I21&lt;&gt;"",I21-Settings!$B$4&lt;=Settings!$B$5,K21&lt;&gt;"Shipped")),"At risk",IF(AND(Q21&lt;&gt;"",Q21&gt;Settings!$B$6),"Stale","On track"))))))</f>
        <v/>
      </c>
      <c r="S21" s="29" t="str">
        <f aca="false">IF(R21="","",IF(R21="Late","Ask for a new ETA and tracking number",IF(R21="Ship overdue","Ask why it hasn't shipped; get a firm ship date",IF(R21="At risk","Confirm the ship date this week",IF(R21="Stale","Request a status update",IF(R21="Closed","-","No action needed"))))))</f>
        <v/>
      </c>
      <c r="T21" s="30" t="str">
        <f aca="false">IF(OR(A21="",N21="",M21=""),"",IF(N21=0,"",M21/N21))</f>
        <v/>
      </c>
      <c r="U21" s="29" t="str">
        <f aca="false">IF(OR(T21="",I21="",R21="Closed"),"",IF(R21="Late","ETA passed: "&amp;ROUND(T21,0)&amp;" days of stock left",IF(Settings!$B$4+T21&lt;I21,"YES: "&amp;ROUND(I21-(Settings!$B$4+T21),0)&amp;" days short","No")))</f>
        <v/>
      </c>
      <c r="V21" s="31" t="str">
        <f aca="false">IF(R21="","",IF(OR(R21="Late",R21="Ship overdue",R21="Stale"),Settings!$B$4,IF(R21="At risk",Settings!$B$4+2,"")))</f>
        <v/>
      </c>
    </row>
    <row r="22" customFormat="false" ht="15" hidden="false" customHeight="false" outlineLevel="0" collapsed="false">
      <c r="A22" s="32"/>
      <c r="B22" s="32"/>
      <c r="C22" s="32"/>
      <c r="D22" s="32"/>
      <c r="E22" s="33"/>
      <c r="F22" s="33"/>
      <c r="G22" s="34"/>
      <c r="H22" s="34"/>
      <c r="I22" s="34"/>
      <c r="J22" s="34"/>
      <c r="K22" s="32"/>
      <c r="L22" s="35"/>
      <c r="M22" s="33"/>
      <c r="N22" s="33"/>
      <c r="O22" s="27" t="str">
        <f aca="false">IF(A22="","",MAX(E22-F22,0))</f>
        <v/>
      </c>
      <c r="P22" s="28" t="str">
        <f aca="false">IF(OR(A22="",I22=""),"",MAX(Settings!$B$4-I22,0))</f>
        <v/>
      </c>
      <c r="Q22" s="28" t="str">
        <f aca="false">IF(OR(A22="",J22=""),"",Settings!$B$4-J22)</f>
        <v/>
      </c>
      <c r="R22" s="29" t="str">
        <f aca="false">IF(A22="","",IF(OR(K22="Received",AND(E22&lt;&gt;"",O22=0)),"Closed",IF(AND(I22&lt;&gt;"",Settings!$B$4&gt;I22),"Late",IF(AND(H22&lt;&gt;"",Settings!$B$4&gt;H22,K22&lt;&gt;"Shipped"),"Ship overdue",IF(OR(K22="Delayed",AND(I22&lt;&gt;"",I22-Settings!$B$4&lt;=Settings!$B$5,K22&lt;&gt;"Shipped")),"At risk",IF(AND(Q22&lt;&gt;"",Q22&gt;Settings!$B$6),"Stale","On track"))))))</f>
        <v/>
      </c>
      <c r="S22" s="29" t="str">
        <f aca="false">IF(R22="","",IF(R22="Late","Ask for a new ETA and tracking number",IF(R22="Ship overdue","Ask why it hasn't shipped; get a firm ship date",IF(R22="At risk","Confirm the ship date this week",IF(R22="Stale","Request a status update",IF(R22="Closed","-","No action needed"))))))</f>
        <v/>
      </c>
      <c r="T22" s="30" t="str">
        <f aca="false">IF(OR(A22="",N22="",M22=""),"",IF(N22=0,"",M22/N22))</f>
        <v/>
      </c>
      <c r="U22" s="29" t="str">
        <f aca="false">IF(OR(T22="",I22="",R22="Closed"),"",IF(R22="Late","ETA passed: "&amp;ROUND(T22,0)&amp;" days of stock left",IF(Settings!$B$4+T22&lt;I22,"YES: "&amp;ROUND(I22-(Settings!$B$4+T22),0)&amp;" days short","No")))</f>
        <v/>
      </c>
      <c r="V22" s="31" t="str">
        <f aca="false">IF(R22="","",IF(OR(R22="Late",R22="Ship overdue",R22="Stale"),Settings!$B$4,IF(R22="At risk",Settings!$B$4+2,"")))</f>
        <v/>
      </c>
    </row>
    <row r="23" customFormat="false" ht="15" hidden="false" customHeight="false" outlineLevel="0" collapsed="false">
      <c r="A23" s="32"/>
      <c r="B23" s="32"/>
      <c r="C23" s="32"/>
      <c r="D23" s="32"/>
      <c r="E23" s="33"/>
      <c r="F23" s="33"/>
      <c r="G23" s="34"/>
      <c r="H23" s="34"/>
      <c r="I23" s="34"/>
      <c r="J23" s="34"/>
      <c r="K23" s="32"/>
      <c r="L23" s="35"/>
      <c r="M23" s="33"/>
      <c r="N23" s="33"/>
      <c r="O23" s="27" t="str">
        <f aca="false">IF(A23="","",MAX(E23-F23,0))</f>
        <v/>
      </c>
      <c r="P23" s="28" t="str">
        <f aca="false">IF(OR(A23="",I23=""),"",MAX(Settings!$B$4-I23,0))</f>
        <v/>
      </c>
      <c r="Q23" s="28" t="str">
        <f aca="false">IF(OR(A23="",J23=""),"",Settings!$B$4-J23)</f>
        <v/>
      </c>
      <c r="R23" s="29" t="str">
        <f aca="false">IF(A23="","",IF(OR(K23="Received",AND(E23&lt;&gt;"",O23=0)),"Closed",IF(AND(I23&lt;&gt;"",Settings!$B$4&gt;I23),"Late",IF(AND(H23&lt;&gt;"",Settings!$B$4&gt;H23,K23&lt;&gt;"Shipped"),"Ship overdue",IF(OR(K23="Delayed",AND(I23&lt;&gt;"",I23-Settings!$B$4&lt;=Settings!$B$5,K23&lt;&gt;"Shipped")),"At risk",IF(AND(Q23&lt;&gt;"",Q23&gt;Settings!$B$6),"Stale","On track"))))))</f>
        <v/>
      </c>
      <c r="S23" s="29" t="str">
        <f aca="false">IF(R23="","",IF(R23="Late","Ask for a new ETA and tracking number",IF(R23="Ship overdue","Ask why it hasn't shipped; get a firm ship date",IF(R23="At risk","Confirm the ship date this week",IF(R23="Stale","Request a status update",IF(R23="Closed","-","No action needed"))))))</f>
        <v/>
      </c>
      <c r="T23" s="30" t="str">
        <f aca="false">IF(OR(A23="",N23="",M23=""),"",IF(N23=0,"",M23/N23))</f>
        <v/>
      </c>
      <c r="U23" s="29" t="str">
        <f aca="false">IF(OR(T23="",I23="",R23="Closed"),"",IF(R23="Late","ETA passed: "&amp;ROUND(T23,0)&amp;" days of stock left",IF(Settings!$B$4+T23&lt;I23,"YES: "&amp;ROUND(I23-(Settings!$B$4+T23),0)&amp;" days short","No")))</f>
        <v/>
      </c>
      <c r="V23" s="31" t="str">
        <f aca="false">IF(R23="","",IF(OR(R23="Late",R23="Ship overdue",R23="Stale"),Settings!$B$4,IF(R23="At risk",Settings!$B$4+2,"")))</f>
        <v/>
      </c>
    </row>
    <row r="24" customFormat="false" ht="15" hidden="false" customHeight="false" outlineLevel="0" collapsed="false">
      <c r="A24" s="32"/>
      <c r="B24" s="32"/>
      <c r="C24" s="32"/>
      <c r="D24" s="32"/>
      <c r="E24" s="33"/>
      <c r="F24" s="33"/>
      <c r="G24" s="34"/>
      <c r="H24" s="34"/>
      <c r="I24" s="34"/>
      <c r="J24" s="34"/>
      <c r="K24" s="32"/>
      <c r="L24" s="35"/>
      <c r="M24" s="33"/>
      <c r="N24" s="33"/>
      <c r="O24" s="27" t="str">
        <f aca="false">IF(A24="","",MAX(E24-F24,0))</f>
        <v/>
      </c>
      <c r="P24" s="28" t="str">
        <f aca="false">IF(OR(A24="",I24=""),"",MAX(Settings!$B$4-I24,0))</f>
        <v/>
      </c>
      <c r="Q24" s="28" t="str">
        <f aca="false">IF(OR(A24="",J24=""),"",Settings!$B$4-J24)</f>
        <v/>
      </c>
      <c r="R24" s="29" t="str">
        <f aca="false">IF(A24="","",IF(OR(K24="Received",AND(E24&lt;&gt;"",O24=0)),"Closed",IF(AND(I24&lt;&gt;"",Settings!$B$4&gt;I24),"Late",IF(AND(H24&lt;&gt;"",Settings!$B$4&gt;H24,K24&lt;&gt;"Shipped"),"Ship overdue",IF(OR(K24="Delayed",AND(I24&lt;&gt;"",I24-Settings!$B$4&lt;=Settings!$B$5,K24&lt;&gt;"Shipped")),"At risk",IF(AND(Q24&lt;&gt;"",Q24&gt;Settings!$B$6),"Stale","On track"))))))</f>
        <v/>
      </c>
      <c r="S24" s="29" t="str">
        <f aca="false">IF(R24="","",IF(R24="Late","Ask for a new ETA and tracking number",IF(R24="Ship overdue","Ask why it hasn't shipped; get a firm ship date",IF(R24="At risk","Confirm the ship date this week",IF(R24="Stale","Request a status update",IF(R24="Closed","-","No action needed"))))))</f>
        <v/>
      </c>
      <c r="T24" s="30" t="str">
        <f aca="false">IF(OR(A24="",N24="",M24=""),"",IF(N24=0,"",M24/N24))</f>
        <v/>
      </c>
      <c r="U24" s="29" t="str">
        <f aca="false">IF(OR(T24="",I24="",R24="Closed"),"",IF(R24="Late","ETA passed: "&amp;ROUND(T24,0)&amp;" days of stock left",IF(Settings!$B$4+T24&lt;I24,"YES: "&amp;ROUND(I24-(Settings!$B$4+T24),0)&amp;" days short","No")))</f>
        <v/>
      </c>
      <c r="V24" s="31" t="str">
        <f aca="false">IF(R24="","",IF(OR(R24="Late",R24="Ship overdue",R24="Stale"),Settings!$B$4,IF(R24="At risk",Settings!$B$4+2,"")))</f>
        <v/>
      </c>
    </row>
    <row r="25" customFormat="false" ht="15" hidden="false" customHeight="false" outlineLevel="0" collapsed="false">
      <c r="A25" s="32"/>
      <c r="B25" s="32"/>
      <c r="C25" s="32"/>
      <c r="D25" s="32"/>
      <c r="E25" s="33"/>
      <c r="F25" s="33"/>
      <c r="G25" s="34"/>
      <c r="H25" s="34"/>
      <c r="I25" s="34"/>
      <c r="J25" s="34"/>
      <c r="K25" s="32"/>
      <c r="L25" s="35"/>
      <c r="M25" s="33"/>
      <c r="N25" s="33"/>
      <c r="O25" s="27" t="str">
        <f aca="false">IF(A25="","",MAX(E25-F25,0))</f>
        <v/>
      </c>
      <c r="P25" s="28" t="str">
        <f aca="false">IF(OR(A25="",I25=""),"",MAX(Settings!$B$4-I25,0))</f>
        <v/>
      </c>
      <c r="Q25" s="28" t="str">
        <f aca="false">IF(OR(A25="",J25=""),"",Settings!$B$4-J25)</f>
        <v/>
      </c>
      <c r="R25" s="29" t="str">
        <f aca="false">IF(A25="","",IF(OR(K25="Received",AND(E25&lt;&gt;"",O25=0)),"Closed",IF(AND(I25&lt;&gt;"",Settings!$B$4&gt;I25),"Late",IF(AND(H25&lt;&gt;"",Settings!$B$4&gt;H25,K25&lt;&gt;"Shipped"),"Ship overdue",IF(OR(K25="Delayed",AND(I25&lt;&gt;"",I25-Settings!$B$4&lt;=Settings!$B$5,K25&lt;&gt;"Shipped")),"At risk",IF(AND(Q25&lt;&gt;"",Q25&gt;Settings!$B$6),"Stale","On track"))))))</f>
        <v/>
      </c>
      <c r="S25" s="29" t="str">
        <f aca="false">IF(R25="","",IF(R25="Late","Ask for a new ETA and tracking number",IF(R25="Ship overdue","Ask why it hasn't shipped; get a firm ship date",IF(R25="At risk","Confirm the ship date this week",IF(R25="Stale","Request a status update",IF(R25="Closed","-","No action needed"))))))</f>
        <v/>
      </c>
      <c r="T25" s="30" t="str">
        <f aca="false">IF(OR(A25="",N25="",M25=""),"",IF(N25=0,"",M25/N25))</f>
        <v/>
      </c>
      <c r="U25" s="29" t="str">
        <f aca="false">IF(OR(T25="",I25="",R25="Closed"),"",IF(R25="Late","ETA passed: "&amp;ROUND(T25,0)&amp;" days of stock left",IF(Settings!$B$4+T25&lt;I25,"YES: "&amp;ROUND(I25-(Settings!$B$4+T25),0)&amp;" days short","No")))</f>
        <v/>
      </c>
      <c r="V25" s="31" t="str">
        <f aca="false">IF(R25="","",IF(OR(R25="Late",R25="Ship overdue",R25="Stale"),Settings!$B$4,IF(R25="At risk",Settings!$B$4+2,"")))</f>
        <v/>
      </c>
    </row>
    <row r="26" customFormat="false" ht="15" hidden="false" customHeight="false" outlineLevel="0" collapsed="false">
      <c r="A26" s="32"/>
      <c r="B26" s="32"/>
      <c r="C26" s="32"/>
      <c r="D26" s="32"/>
      <c r="E26" s="33"/>
      <c r="F26" s="33"/>
      <c r="G26" s="34"/>
      <c r="H26" s="34"/>
      <c r="I26" s="34"/>
      <c r="J26" s="34"/>
      <c r="K26" s="32"/>
      <c r="L26" s="35"/>
      <c r="M26" s="33"/>
      <c r="N26" s="33"/>
      <c r="O26" s="27" t="str">
        <f aca="false">IF(A26="","",MAX(E26-F26,0))</f>
        <v/>
      </c>
      <c r="P26" s="28" t="str">
        <f aca="false">IF(OR(A26="",I26=""),"",MAX(Settings!$B$4-I26,0))</f>
        <v/>
      </c>
      <c r="Q26" s="28" t="str">
        <f aca="false">IF(OR(A26="",J26=""),"",Settings!$B$4-J26)</f>
        <v/>
      </c>
      <c r="R26" s="29" t="str">
        <f aca="false">IF(A26="","",IF(OR(K26="Received",AND(E26&lt;&gt;"",O26=0)),"Closed",IF(AND(I26&lt;&gt;"",Settings!$B$4&gt;I26),"Late",IF(AND(H26&lt;&gt;"",Settings!$B$4&gt;H26,K26&lt;&gt;"Shipped"),"Ship overdue",IF(OR(K26="Delayed",AND(I26&lt;&gt;"",I26-Settings!$B$4&lt;=Settings!$B$5,K26&lt;&gt;"Shipped")),"At risk",IF(AND(Q26&lt;&gt;"",Q26&gt;Settings!$B$6),"Stale","On track"))))))</f>
        <v/>
      </c>
      <c r="S26" s="29" t="str">
        <f aca="false">IF(R26="","",IF(R26="Late","Ask for a new ETA and tracking number",IF(R26="Ship overdue","Ask why it hasn't shipped; get a firm ship date",IF(R26="At risk","Confirm the ship date this week",IF(R26="Stale","Request a status update",IF(R26="Closed","-","No action needed"))))))</f>
        <v/>
      </c>
      <c r="T26" s="30" t="str">
        <f aca="false">IF(OR(A26="",N26="",M26=""),"",IF(N26=0,"",M26/N26))</f>
        <v/>
      </c>
      <c r="U26" s="29" t="str">
        <f aca="false">IF(OR(T26="",I26="",R26="Closed"),"",IF(R26="Late","ETA passed: "&amp;ROUND(T26,0)&amp;" days of stock left",IF(Settings!$B$4+T26&lt;I26,"YES: "&amp;ROUND(I26-(Settings!$B$4+T26),0)&amp;" days short","No")))</f>
        <v/>
      </c>
      <c r="V26" s="31" t="str">
        <f aca="false">IF(R26="","",IF(OR(R26="Late",R26="Ship overdue",R26="Stale"),Settings!$B$4,IF(R26="At risk",Settings!$B$4+2,"")))</f>
        <v/>
      </c>
    </row>
    <row r="27" customFormat="false" ht="15" hidden="false" customHeight="false" outlineLevel="0" collapsed="false">
      <c r="A27" s="32"/>
      <c r="B27" s="32"/>
      <c r="C27" s="32"/>
      <c r="D27" s="32"/>
      <c r="E27" s="33"/>
      <c r="F27" s="33"/>
      <c r="G27" s="34"/>
      <c r="H27" s="34"/>
      <c r="I27" s="34"/>
      <c r="J27" s="34"/>
      <c r="K27" s="32"/>
      <c r="L27" s="35"/>
      <c r="M27" s="33"/>
      <c r="N27" s="33"/>
      <c r="O27" s="27" t="str">
        <f aca="false">IF(A27="","",MAX(E27-F27,0))</f>
        <v/>
      </c>
      <c r="P27" s="28" t="str">
        <f aca="false">IF(OR(A27="",I27=""),"",MAX(Settings!$B$4-I27,0))</f>
        <v/>
      </c>
      <c r="Q27" s="28" t="str">
        <f aca="false">IF(OR(A27="",J27=""),"",Settings!$B$4-J27)</f>
        <v/>
      </c>
      <c r="R27" s="29" t="str">
        <f aca="false">IF(A27="","",IF(OR(K27="Received",AND(E27&lt;&gt;"",O27=0)),"Closed",IF(AND(I27&lt;&gt;"",Settings!$B$4&gt;I27),"Late",IF(AND(H27&lt;&gt;"",Settings!$B$4&gt;H27,K27&lt;&gt;"Shipped"),"Ship overdue",IF(OR(K27="Delayed",AND(I27&lt;&gt;"",I27-Settings!$B$4&lt;=Settings!$B$5,K27&lt;&gt;"Shipped")),"At risk",IF(AND(Q27&lt;&gt;"",Q27&gt;Settings!$B$6),"Stale","On track"))))))</f>
        <v/>
      </c>
      <c r="S27" s="29" t="str">
        <f aca="false">IF(R27="","",IF(R27="Late","Ask for a new ETA and tracking number",IF(R27="Ship overdue","Ask why it hasn't shipped; get a firm ship date",IF(R27="At risk","Confirm the ship date this week",IF(R27="Stale","Request a status update",IF(R27="Closed","-","No action needed"))))))</f>
        <v/>
      </c>
      <c r="T27" s="30" t="str">
        <f aca="false">IF(OR(A27="",N27="",M27=""),"",IF(N27=0,"",M27/N27))</f>
        <v/>
      </c>
      <c r="U27" s="29" t="str">
        <f aca="false">IF(OR(T27="",I27="",R27="Closed"),"",IF(R27="Late","ETA passed: "&amp;ROUND(T27,0)&amp;" days of stock left",IF(Settings!$B$4+T27&lt;I27,"YES: "&amp;ROUND(I27-(Settings!$B$4+T27),0)&amp;" days short","No")))</f>
        <v/>
      </c>
      <c r="V27" s="31" t="str">
        <f aca="false">IF(R27="","",IF(OR(R27="Late",R27="Ship overdue",R27="Stale"),Settings!$B$4,IF(R27="At risk",Settings!$B$4+2,"")))</f>
        <v/>
      </c>
    </row>
    <row r="28" customFormat="false" ht="15" hidden="false" customHeight="false" outlineLevel="0" collapsed="false">
      <c r="A28" s="32"/>
      <c r="B28" s="32"/>
      <c r="C28" s="32"/>
      <c r="D28" s="32"/>
      <c r="E28" s="33"/>
      <c r="F28" s="33"/>
      <c r="G28" s="34"/>
      <c r="H28" s="34"/>
      <c r="I28" s="34"/>
      <c r="J28" s="34"/>
      <c r="K28" s="32"/>
      <c r="L28" s="35"/>
      <c r="M28" s="33"/>
      <c r="N28" s="33"/>
      <c r="O28" s="27" t="str">
        <f aca="false">IF(A28="","",MAX(E28-F28,0))</f>
        <v/>
      </c>
      <c r="P28" s="28" t="str">
        <f aca="false">IF(OR(A28="",I28=""),"",MAX(Settings!$B$4-I28,0))</f>
        <v/>
      </c>
      <c r="Q28" s="28" t="str">
        <f aca="false">IF(OR(A28="",J28=""),"",Settings!$B$4-J28)</f>
        <v/>
      </c>
      <c r="R28" s="29" t="str">
        <f aca="false">IF(A28="","",IF(OR(K28="Received",AND(E28&lt;&gt;"",O28=0)),"Closed",IF(AND(I28&lt;&gt;"",Settings!$B$4&gt;I28),"Late",IF(AND(H28&lt;&gt;"",Settings!$B$4&gt;H28,K28&lt;&gt;"Shipped"),"Ship overdue",IF(OR(K28="Delayed",AND(I28&lt;&gt;"",I28-Settings!$B$4&lt;=Settings!$B$5,K28&lt;&gt;"Shipped")),"At risk",IF(AND(Q28&lt;&gt;"",Q28&gt;Settings!$B$6),"Stale","On track"))))))</f>
        <v/>
      </c>
      <c r="S28" s="29" t="str">
        <f aca="false">IF(R28="","",IF(R28="Late","Ask for a new ETA and tracking number",IF(R28="Ship overdue","Ask why it hasn't shipped; get a firm ship date",IF(R28="At risk","Confirm the ship date this week",IF(R28="Stale","Request a status update",IF(R28="Closed","-","No action needed"))))))</f>
        <v/>
      </c>
      <c r="T28" s="30" t="str">
        <f aca="false">IF(OR(A28="",N28="",M28=""),"",IF(N28=0,"",M28/N28))</f>
        <v/>
      </c>
      <c r="U28" s="29" t="str">
        <f aca="false">IF(OR(T28="",I28="",R28="Closed"),"",IF(R28="Late","ETA passed: "&amp;ROUND(T28,0)&amp;" days of stock left",IF(Settings!$B$4+T28&lt;I28,"YES: "&amp;ROUND(I28-(Settings!$B$4+T28),0)&amp;" days short","No")))</f>
        <v/>
      </c>
      <c r="V28" s="31" t="str">
        <f aca="false">IF(R28="","",IF(OR(R28="Late",R28="Ship overdue",R28="Stale"),Settings!$B$4,IF(R28="At risk",Settings!$B$4+2,"")))</f>
        <v/>
      </c>
    </row>
    <row r="29" customFormat="false" ht="15" hidden="false" customHeight="false" outlineLevel="0" collapsed="false">
      <c r="A29" s="32"/>
      <c r="B29" s="32"/>
      <c r="C29" s="32"/>
      <c r="D29" s="32"/>
      <c r="E29" s="33"/>
      <c r="F29" s="33"/>
      <c r="G29" s="34"/>
      <c r="H29" s="34"/>
      <c r="I29" s="34"/>
      <c r="J29" s="34"/>
      <c r="K29" s="32"/>
      <c r="L29" s="35"/>
      <c r="M29" s="33"/>
      <c r="N29" s="33"/>
      <c r="O29" s="27" t="str">
        <f aca="false">IF(A29="","",MAX(E29-F29,0))</f>
        <v/>
      </c>
      <c r="P29" s="28" t="str">
        <f aca="false">IF(OR(A29="",I29=""),"",MAX(Settings!$B$4-I29,0))</f>
        <v/>
      </c>
      <c r="Q29" s="28" t="str">
        <f aca="false">IF(OR(A29="",J29=""),"",Settings!$B$4-J29)</f>
        <v/>
      </c>
      <c r="R29" s="29" t="str">
        <f aca="false">IF(A29="","",IF(OR(K29="Received",AND(E29&lt;&gt;"",O29=0)),"Closed",IF(AND(I29&lt;&gt;"",Settings!$B$4&gt;I29),"Late",IF(AND(H29&lt;&gt;"",Settings!$B$4&gt;H29,K29&lt;&gt;"Shipped"),"Ship overdue",IF(OR(K29="Delayed",AND(I29&lt;&gt;"",I29-Settings!$B$4&lt;=Settings!$B$5,K29&lt;&gt;"Shipped")),"At risk",IF(AND(Q29&lt;&gt;"",Q29&gt;Settings!$B$6),"Stale","On track"))))))</f>
        <v/>
      </c>
      <c r="S29" s="29" t="str">
        <f aca="false">IF(R29="","",IF(R29="Late","Ask for a new ETA and tracking number",IF(R29="Ship overdue","Ask why it hasn't shipped; get a firm ship date",IF(R29="At risk","Confirm the ship date this week",IF(R29="Stale","Request a status update",IF(R29="Closed","-","No action needed"))))))</f>
        <v/>
      </c>
      <c r="T29" s="30" t="str">
        <f aca="false">IF(OR(A29="",N29="",M29=""),"",IF(N29=0,"",M29/N29))</f>
        <v/>
      </c>
      <c r="U29" s="29" t="str">
        <f aca="false">IF(OR(T29="",I29="",R29="Closed"),"",IF(R29="Late","ETA passed: "&amp;ROUND(T29,0)&amp;" days of stock left",IF(Settings!$B$4+T29&lt;I29,"YES: "&amp;ROUND(I29-(Settings!$B$4+T29),0)&amp;" days short","No")))</f>
        <v/>
      </c>
      <c r="V29" s="31" t="str">
        <f aca="false">IF(R29="","",IF(OR(R29="Late",R29="Ship overdue",R29="Stale"),Settings!$B$4,IF(R29="At risk",Settings!$B$4+2,"")))</f>
        <v/>
      </c>
    </row>
    <row r="30" customFormat="false" ht="15" hidden="false" customHeight="false" outlineLevel="0" collapsed="false">
      <c r="A30" s="32"/>
      <c r="B30" s="32"/>
      <c r="C30" s="32"/>
      <c r="D30" s="32"/>
      <c r="E30" s="33"/>
      <c r="F30" s="33"/>
      <c r="G30" s="34"/>
      <c r="H30" s="34"/>
      <c r="I30" s="34"/>
      <c r="J30" s="34"/>
      <c r="K30" s="32"/>
      <c r="L30" s="35"/>
      <c r="M30" s="33"/>
      <c r="N30" s="33"/>
      <c r="O30" s="27" t="str">
        <f aca="false">IF(A30="","",MAX(E30-F30,0))</f>
        <v/>
      </c>
      <c r="P30" s="28" t="str">
        <f aca="false">IF(OR(A30="",I30=""),"",MAX(Settings!$B$4-I30,0))</f>
        <v/>
      </c>
      <c r="Q30" s="28" t="str">
        <f aca="false">IF(OR(A30="",J30=""),"",Settings!$B$4-J30)</f>
        <v/>
      </c>
      <c r="R30" s="29" t="str">
        <f aca="false">IF(A30="","",IF(OR(K30="Received",AND(E30&lt;&gt;"",O30=0)),"Closed",IF(AND(I30&lt;&gt;"",Settings!$B$4&gt;I30),"Late",IF(AND(H30&lt;&gt;"",Settings!$B$4&gt;H30,K30&lt;&gt;"Shipped"),"Ship overdue",IF(OR(K30="Delayed",AND(I30&lt;&gt;"",I30-Settings!$B$4&lt;=Settings!$B$5,K30&lt;&gt;"Shipped")),"At risk",IF(AND(Q30&lt;&gt;"",Q30&gt;Settings!$B$6),"Stale","On track"))))))</f>
        <v/>
      </c>
      <c r="S30" s="29" t="str">
        <f aca="false">IF(R30="","",IF(R30="Late","Ask for a new ETA and tracking number",IF(R30="Ship overdue","Ask why it hasn't shipped; get a firm ship date",IF(R30="At risk","Confirm the ship date this week",IF(R30="Stale","Request a status update",IF(R30="Closed","-","No action needed"))))))</f>
        <v/>
      </c>
      <c r="T30" s="30" t="str">
        <f aca="false">IF(OR(A30="",N30="",M30=""),"",IF(N30=0,"",M30/N30))</f>
        <v/>
      </c>
      <c r="U30" s="29" t="str">
        <f aca="false">IF(OR(T30="",I30="",R30="Closed"),"",IF(R30="Late","ETA passed: "&amp;ROUND(T30,0)&amp;" days of stock left",IF(Settings!$B$4+T30&lt;I30,"YES: "&amp;ROUND(I30-(Settings!$B$4+T30),0)&amp;" days short","No")))</f>
        <v/>
      </c>
      <c r="V30" s="31" t="str">
        <f aca="false">IF(R30="","",IF(OR(R30="Late",R30="Ship overdue",R30="Stale"),Settings!$B$4,IF(R30="At risk",Settings!$B$4+2,"")))</f>
        <v/>
      </c>
    </row>
    <row r="31" customFormat="false" ht="15" hidden="false" customHeight="false" outlineLevel="0" collapsed="false">
      <c r="A31" s="32"/>
      <c r="B31" s="32"/>
      <c r="C31" s="32"/>
      <c r="D31" s="32"/>
      <c r="E31" s="33"/>
      <c r="F31" s="33"/>
      <c r="G31" s="34"/>
      <c r="H31" s="34"/>
      <c r="I31" s="34"/>
      <c r="J31" s="34"/>
      <c r="K31" s="32"/>
      <c r="L31" s="35"/>
      <c r="M31" s="33"/>
      <c r="N31" s="33"/>
      <c r="O31" s="27" t="str">
        <f aca="false">IF(A31="","",MAX(E31-F31,0))</f>
        <v/>
      </c>
      <c r="P31" s="28" t="str">
        <f aca="false">IF(OR(A31="",I31=""),"",MAX(Settings!$B$4-I31,0))</f>
        <v/>
      </c>
      <c r="Q31" s="28" t="str">
        <f aca="false">IF(OR(A31="",J31=""),"",Settings!$B$4-J31)</f>
        <v/>
      </c>
      <c r="R31" s="29" t="str">
        <f aca="false">IF(A31="","",IF(OR(K31="Received",AND(E31&lt;&gt;"",O31=0)),"Closed",IF(AND(I31&lt;&gt;"",Settings!$B$4&gt;I31),"Late",IF(AND(H31&lt;&gt;"",Settings!$B$4&gt;H31,K31&lt;&gt;"Shipped"),"Ship overdue",IF(OR(K31="Delayed",AND(I31&lt;&gt;"",I31-Settings!$B$4&lt;=Settings!$B$5,K31&lt;&gt;"Shipped")),"At risk",IF(AND(Q31&lt;&gt;"",Q31&gt;Settings!$B$6),"Stale","On track"))))))</f>
        <v/>
      </c>
      <c r="S31" s="29" t="str">
        <f aca="false">IF(R31="","",IF(R31="Late","Ask for a new ETA and tracking number",IF(R31="Ship overdue","Ask why it hasn't shipped; get a firm ship date",IF(R31="At risk","Confirm the ship date this week",IF(R31="Stale","Request a status update",IF(R31="Closed","-","No action needed"))))))</f>
        <v/>
      </c>
      <c r="T31" s="30" t="str">
        <f aca="false">IF(OR(A31="",N31="",M31=""),"",IF(N31=0,"",M31/N31))</f>
        <v/>
      </c>
      <c r="U31" s="29" t="str">
        <f aca="false">IF(OR(T31="",I31="",R31="Closed"),"",IF(R31="Late","ETA passed: "&amp;ROUND(T31,0)&amp;" days of stock left",IF(Settings!$B$4+T31&lt;I31,"YES: "&amp;ROUND(I31-(Settings!$B$4+T31),0)&amp;" days short","No")))</f>
        <v/>
      </c>
      <c r="V31" s="31" t="str">
        <f aca="false">IF(R31="","",IF(OR(R31="Late",R31="Ship overdue",R31="Stale"),Settings!$B$4,IF(R31="At risk",Settings!$B$4+2,"")))</f>
        <v/>
      </c>
    </row>
    <row r="32" customFormat="false" ht="15" hidden="false" customHeight="false" outlineLevel="0" collapsed="false">
      <c r="A32" s="32"/>
      <c r="B32" s="32"/>
      <c r="C32" s="32"/>
      <c r="D32" s="32"/>
      <c r="E32" s="33"/>
      <c r="F32" s="33"/>
      <c r="G32" s="34"/>
      <c r="H32" s="34"/>
      <c r="I32" s="34"/>
      <c r="J32" s="34"/>
      <c r="K32" s="32"/>
      <c r="L32" s="35"/>
      <c r="M32" s="33"/>
      <c r="N32" s="33"/>
      <c r="O32" s="27" t="str">
        <f aca="false">IF(A32="","",MAX(E32-F32,0))</f>
        <v/>
      </c>
      <c r="P32" s="28" t="str">
        <f aca="false">IF(OR(A32="",I32=""),"",MAX(Settings!$B$4-I32,0))</f>
        <v/>
      </c>
      <c r="Q32" s="28" t="str">
        <f aca="false">IF(OR(A32="",J32=""),"",Settings!$B$4-J32)</f>
        <v/>
      </c>
      <c r="R32" s="29" t="str">
        <f aca="false">IF(A32="","",IF(OR(K32="Received",AND(E32&lt;&gt;"",O32=0)),"Closed",IF(AND(I32&lt;&gt;"",Settings!$B$4&gt;I32),"Late",IF(AND(H32&lt;&gt;"",Settings!$B$4&gt;H32,K32&lt;&gt;"Shipped"),"Ship overdue",IF(OR(K32="Delayed",AND(I32&lt;&gt;"",I32-Settings!$B$4&lt;=Settings!$B$5,K32&lt;&gt;"Shipped")),"At risk",IF(AND(Q32&lt;&gt;"",Q32&gt;Settings!$B$6),"Stale","On track"))))))</f>
        <v/>
      </c>
      <c r="S32" s="29" t="str">
        <f aca="false">IF(R32="","",IF(R32="Late","Ask for a new ETA and tracking number",IF(R32="Ship overdue","Ask why it hasn't shipped; get a firm ship date",IF(R32="At risk","Confirm the ship date this week",IF(R32="Stale","Request a status update",IF(R32="Closed","-","No action needed"))))))</f>
        <v/>
      </c>
      <c r="T32" s="30" t="str">
        <f aca="false">IF(OR(A32="",N32="",M32=""),"",IF(N32=0,"",M32/N32))</f>
        <v/>
      </c>
      <c r="U32" s="29" t="str">
        <f aca="false">IF(OR(T32="",I32="",R32="Closed"),"",IF(R32="Late","ETA passed: "&amp;ROUND(T32,0)&amp;" days of stock left",IF(Settings!$B$4+T32&lt;I32,"YES: "&amp;ROUND(I32-(Settings!$B$4+T32),0)&amp;" days short","No")))</f>
        <v/>
      </c>
      <c r="V32" s="31" t="str">
        <f aca="false">IF(R32="","",IF(OR(R32="Late",R32="Ship overdue",R32="Stale"),Settings!$B$4,IF(R32="At risk",Settings!$B$4+2,"")))</f>
        <v/>
      </c>
    </row>
    <row r="33" customFormat="false" ht="15" hidden="false" customHeight="false" outlineLevel="0" collapsed="false">
      <c r="A33" s="32"/>
      <c r="B33" s="32"/>
      <c r="C33" s="32"/>
      <c r="D33" s="32"/>
      <c r="E33" s="33"/>
      <c r="F33" s="33"/>
      <c r="G33" s="34"/>
      <c r="H33" s="34"/>
      <c r="I33" s="34"/>
      <c r="J33" s="34"/>
      <c r="K33" s="32"/>
      <c r="L33" s="35"/>
      <c r="M33" s="33"/>
      <c r="N33" s="33"/>
      <c r="O33" s="27" t="str">
        <f aca="false">IF(A33="","",MAX(E33-F33,0))</f>
        <v/>
      </c>
      <c r="P33" s="28" t="str">
        <f aca="false">IF(OR(A33="",I33=""),"",MAX(Settings!$B$4-I33,0))</f>
        <v/>
      </c>
      <c r="Q33" s="28" t="str">
        <f aca="false">IF(OR(A33="",J33=""),"",Settings!$B$4-J33)</f>
        <v/>
      </c>
      <c r="R33" s="29" t="str">
        <f aca="false">IF(A33="","",IF(OR(K33="Received",AND(E33&lt;&gt;"",O33=0)),"Closed",IF(AND(I33&lt;&gt;"",Settings!$B$4&gt;I33),"Late",IF(AND(H33&lt;&gt;"",Settings!$B$4&gt;H33,K33&lt;&gt;"Shipped"),"Ship overdue",IF(OR(K33="Delayed",AND(I33&lt;&gt;"",I33-Settings!$B$4&lt;=Settings!$B$5,K33&lt;&gt;"Shipped")),"At risk",IF(AND(Q33&lt;&gt;"",Q33&gt;Settings!$B$6),"Stale","On track"))))))</f>
        <v/>
      </c>
      <c r="S33" s="29" t="str">
        <f aca="false">IF(R33="","",IF(R33="Late","Ask for a new ETA and tracking number",IF(R33="Ship overdue","Ask why it hasn't shipped; get a firm ship date",IF(R33="At risk","Confirm the ship date this week",IF(R33="Stale","Request a status update",IF(R33="Closed","-","No action needed"))))))</f>
        <v/>
      </c>
      <c r="T33" s="30" t="str">
        <f aca="false">IF(OR(A33="",N33="",M33=""),"",IF(N33=0,"",M33/N33))</f>
        <v/>
      </c>
      <c r="U33" s="29" t="str">
        <f aca="false">IF(OR(T33="",I33="",R33="Closed"),"",IF(R33="Late","ETA passed: "&amp;ROUND(T33,0)&amp;" days of stock left",IF(Settings!$B$4+T33&lt;I33,"YES: "&amp;ROUND(I33-(Settings!$B$4+T33),0)&amp;" days short","No")))</f>
        <v/>
      </c>
      <c r="V33" s="31" t="str">
        <f aca="false">IF(R33="","",IF(OR(R33="Late",R33="Ship overdue",R33="Stale"),Settings!$B$4,IF(R33="At risk",Settings!$B$4+2,"")))</f>
        <v/>
      </c>
    </row>
    <row r="34" customFormat="false" ht="15" hidden="false" customHeight="false" outlineLevel="0" collapsed="false">
      <c r="A34" s="32"/>
      <c r="B34" s="32"/>
      <c r="C34" s="32"/>
      <c r="D34" s="32"/>
      <c r="E34" s="33"/>
      <c r="F34" s="33"/>
      <c r="G34" s="34"/>
      <c r="H34" s="34"/>
      <c r="I34" s="34"/>
      <c r="J34" s="34"/>
      <c r="K34" s="32"/>
      <c r="L34" s="35"/>
      <c r="M34" s="33"/>
      <c r="N34" s="33"/>
      <c r="O34" s="27" t="str">
        <f aca="false">IF(A34="","",MAX(E34-F34,0))</f>
        <v/>
      </c>
      <c r="P34" s="28" t="str">
        <f aca="false">IF(OR(A34="",I34=""),"",MAX(Settings!$B$4-I34,0))</f>
        <v/>
      </c>
      <c r="Q34" s="28" t="str">
        <f aca="false">IF(OR(A34="",J34=""),"",Settings!$B$4-J34)</f>
        <v/>
      </c>
      <c r="R34" s="29" t="str">
        <f aca="false">IF(A34="","",IF(OR(K34="Received",AND(E34&lt;&gt;"",O34=0)),"Closed",IF(AND(I34&lt;&gt;"",Settings!$B$4&gt;I34),"Late",IF(AND(H34&lt;&gt;"",Settings!$B$4&gt;H34,K34&lt;&gt;"Shipped"),"Ship overdue",IF(OR(K34="Delayed",AND(I34&lt;&gt;"",I34-Settings!$B$4&lt;=Settings!$B$5,K34&lt;&gt;"Shipped")),"At risk",IF(AND(Q34&lt;&gt;"",Q34&gt;Settings!$B$6),"Stale","On track"))))))</f>
        <v/>
      </c>
      <c r="S34" s="29" t="str">
        <f aca="false">IF(R34="","",IF(R34="Late","Ask for a new ETA and tracking number",IF(R34="Ship overdue","Ask why it hasn't shipped; get a firm ship date",IF(R34="At risk","Confirm the ship date this week",IF(R34="Stale","Request a status update",IF(R34="Closed","-","No action needed"))))))</f>
        <v/>
      </c>
      <c r="T34" s="30" t="str">
        <f aca="false">IF(OR(A34="",N34="",M34=""),"",IF(N34=0,"",M34/N34))</f>
        <v/>
      </c>
      <c r="U34" s="29" t="str">
        <f aca="false">IF(OR(T34="",I34="",R34="Closed"),"",IF(R34="Late","ETA passed: "&amp;ROUND(T34,0)&amp;" days of stock left",IF(Settings!$B$4+T34&lt;I34,"YES: "&amp;ROUND(I34-(Settings!$B$4+T34),0)&amp;" days short","No")))</f>
        <v/>
      </c>
      <c r="V34" s="31" t="str">
        <f aca="false">IF(R34="","",IF(OR(R34="Late",R34="Ship overdue",R34="Stale"),Settings!$B$4,IF(R34="At risk",Settings!$B$4+2,"")))</f>
        <v/>
      </c>
    </row>
    <row r="35" customFormat="false" ht="15" hidden="false" customHeight="false" outlineLevel="0" collapsed="false">
      <c r="A35" s="32"/>
      <c r="B35" s="32"/>
      <c r="C35" s="32"/>
      <c r="D35" s="32"/>
      <c r="E35" s="33"/>
      <c r="F35" s="33"/>
      <c r="G35" s="34"/>
      <c r="H35" s="34"/>
      <c r="I35" s="34"/>
      <c r="J35" s="34"/>
      <c r="K35" s="32"/>
      <c r="L35" s="35"/>
      <c r="M35" s="33"/>
      <c r="N35" s="33"/>
      <c r="O35" s="27" t="str">
        <f aca="false">IF(A35="","",MAX(E35-F35,0))</f>
        <v/>
      </c>
      <c r="P35" s="28" t="str">
        <f aca="false">IF(OR(A35="",I35=""),"",MAX(Settings!$B$4-I35,0))</f>
        <v/>
      </c>
      <c r="Q35" s="28" t="str">
        <f aca="false">IF(OR(A35="",J35=""),"",Settings!$B$4-J35)</f>
        <v/>
      </c>
      <c r="R35" s="29" t="str">
        <f aca="false">IF(A35="","",IF(OR(K35="Received",AND(E35&lt;&gt;"",O35=0)),"Closed",IF(AND(I35&lt;&gt;"",Settings!$B$4&gt;I35),"Late",IF(AND(H35&lt;&gt;"",Settings!$B$4&gt;H35,K35&lt;&gt;"Shipped"),"Ship overdue",IF(OR(K35="Delayed",AND(I35&lt;&gt;"",I35-Settings!$B$4&lt;=Settings!$B$5,K35&lt;&gt;"Shipped")),"At risk",IF(AND(Q35&lt;&gt;"",Q35&gt;Settings!$B$6),"Stale","On track"))))))</f>
        <v/>
      </c>
      <c r="S35" s="29" t="str">
        <f aca="false">IF(R35="","",IF(R35="Late","Ask for a new ETA and tracking number",IF(R35="Ship overdue","Ask why it hasn't shipped; get a firm ship date",IF(R35="At risk","Confirm the ship date this week",IF(R35="Stale","Request a status update",IF(R35="Closed","-","No action needed"))))))</f>
        <v/>
      </c>
      <c r="T35" s="30" t="str">
        <f aca="false">IF(OR(A35="",N35="",M35=""),"",IF(N35=0,"",M35/N35))</f>
        <v/>
      </c>
      <c r="U35" s="29" t="str">
        <f aca="false">IF(OR(T35="",I35="",R35="Closed"),"",IF(R35="Late","ETA passed: "&amp;ROUND(T35,0)&amp;" days of stock left",IF(Settings!$B$4+T35&lt;I35,"YES: "&amp;ROUND(I35-(Settings!$B$4+T35),0)&amp;" days short","No")))</f>
        <v/>
      </c>
      <c r="V35" s="31" t="str">
        <f aca="false">IF(R35="","",IF(OR(R35="Late",R35="Ship overdue",R35="Stale"),Settings!$B$4,IF(R35="At risk",Settings!$B$4+2,"")))</f>
        <v/>
      </c>
    </row>
    <row r="36" customFormat="false" ht="15" hidden="false" customHeight="false" outlineLevel="0" collapsed="false">
      <c r="A36" s="32"/>
      <c r="B36" s="32"/>
      <c r="C36" s="32"/>
      <c r="D36" s="32"/>
      <c r="E36" s="33"/>
      <c r="F36" s="33"/>
      <c r="G36" s="34"/>
      <c r="H36" s="34"/>
      <c r="I36" s="34"/>
      <c r="J36" s="34"/>
      <c r="K36" s="32"/>
      <c r="L36" s="35"/>
      <c r="M36" s="33"/>
      <c r="N36" s="33"/>
      <c r="O36" s="27" t="str">
        <f aca="false">IF(A36="","",MAX(E36-F36,0))</f>
        <v/>
      </c>
      <c r="P36" s="28" t="str">
        <f aca="false">IF(OR(A36="",I36=""),"",MAX(Settings!$B$4-I36,0))</f>
        <v/>
      </c>
      <c r="Q36" s="28" t="str">
        <f aca="false">IF(OR(A36="",J36=""),"",Settings!$B$4-J36)</f>
        <v/>
      </c>
      <c r="R36" s="29" t="str">
        <f aca="false">IF(A36="","",IF(OR(K36="Received",AND(E36&lt;&gt;"",O36=0)),"Closed",IF(AND(I36&lt;&gt;"",Settings!$B$4&gt;I36),"Late",IF(AND(H36&lt;&gt;"",Settings!$B$4&gt;H36,K36&lt;&gt;"Shipped"),"Ship overdue",IF(OR(K36="Delayed",AND(I36&lt;&gt;"",I36-Settings!$B$4&lt;=Settings!$B$5,K36&lt;&gt;"Shipped")),"At risk",IF(AND(Q36&lt;&gt;"",Q36&gt;Settings!$B$6),"Stale","On track"))))))</f>
        <v/>
      </c>
      <c r="S36" s="29" t="str">
        <f aca="false">IF(R36="","",IF(R36="Late","Ask for a new ETA and tracking number",IF(R36="Ship overdue","Ask why it hasn't shipped; get a firm ship date",IF(R36="At risk","Confirm the ship date this week",IF(R36="Stale","Request a status update",IF(R36="Closed","-","No action needed"))))))</f>
        <v/>
      </c>
      <c r="T36" s="30" t="str">
        <f aca="false">IF(OR(A36="",N36="",M36=""),"",IF(N36=0,"",M36/N36))</f>
        <v/>
      </c>
      <c r="U36" s="29" t="str">
        <f aca="false">IF(OR(T36="",I36="",R36="Closed"),"",IF(R36="Late","ETA passed: "&amp;ROUND(T36,0)&amp;" days of stock left",IF(Settings!$B$4+T36&lt;I36,"YES: "&amp;ROUND(I36-(Settings!$B$4+T36),0)&amp;" days short","No")))</f>
        <v/>
      </c>
      <c r="V36" s="31" t="str">
        <f aca="false">IF(R36="","",IF(OR(R36="Late",R36="Ship overdue",R36="Stale"),Settings!$B$4,IF(R36="At risk",Settings!$B$4+2,"")))</f>
        <v/>
      </c>
    </row>
    <row r="37" customFormat="false" ht="15" hidden="false" customHeight="false" outlineLevel="0" collapsed="false">
      <c r="A37" s="32"/>
      <c r="B37" s="32"/>
      <c r="C37" s="32"/>
      <c r="D37" s="32"/>
      <c r="E37" s="33"/>
      <c r="F37" s="33"/>
      <c r="G37" s="34"/>
      <c r="H37" s="34"/>
      <c r="I37" s="34"/>
      <c r="J37" s="34"/>
      <c r="K37" s="32"/>
      <c r="L37" s="35"/>
      <c r="M37" s="33"/>
      <c r="N37" s="33"/>
      <c r="O37" s="27" t="str">
        <f aca="false">IF(A37="","",MAX(E37-F37,0))</f>
        <v/>
      </c>
      <c r="P37" s="28" t="str">
        <f aca="false">IF(OR(A37="",I37=""),"",MAX(Settings!$B$4-I37,0))</f>
        <v/>
      </c>
      <c r="Q37" s="28" t="str">
        <f aca="false">IF(OR(A37="",J37=""),"",Settings!$B$4-J37)</f>
        <v/>
      </c>
      <c r="R37" s="29" t="str">
        <f aca="false">IF(A37="","",IF(OR(K37="Received",AND(E37&lt;&gt;"",O37=0)),"Closed",IF(AND(I37&lt;&gt;"",Settings!$B$4&gt;I37),"Late",IF(AND(H37&lt;&gt;"",Settings!$B$4&gt;H37,K37&lt;&gt;"Shipped"),"Ship overdue",IF(OR(K37="Delayed",AND(I37&lt;&gt;"",I37-Settings!$B$4&lt;=Settings!$B$5,K37&lt;&gt;"Shipped")),"At risk",IF(AND(Q37&lt;&gt;"",Q37&gt;Settings!$B$6),"Stale","On track"))))))</f>
        <v/>
      </c>
      <c r="S37" s="29" t="str">
        <f aca="false">IF(R37="","",IF(R37="Late","Ask for a new ETA and tracking number",IF(R37="Ship overdue","Ask why it hasn't shipped; get a firm ship date",IF(R37="At risk","Confirm the ship date this week",IF(R37="Stale","Request a status update",IF(R37="Closed","-","No action needed"))))))</f>
        <v/>
      </c>
      <c r="T37" s="30" t="str">
        <f aca="false">IF(OR(A37="",N37="",M37=""),"",IF(N37=0,"",M37/N37))</f>
        <v/>
      </c>
      <c r="U37" s="29" t="str">
        <f aca="false">IF(OR(T37="",I37="",R37="Closed"),"",IF(R37="Late","ETA passed: "&amp;ROUND(T37,0)&amp;" days of stock left",IF(Settings!$B$4+T37&lt;I37,"YES: "&amp;ROUND(I37-(Settings!$B$4+T37),0)&amp;" days short","No")))</f>
        <v/>
      </c>
      <c r="V37" s="31" t="str">
        <f aca="false">IF(R37="","",IF(OR(R37="Late",R37="Ship overdue",R37="Stale"),Settings!$B$4,IF(R37="At risk",Settings!$B$4+2,"")))</f>
        <v/>
      </c>
    </row>
    <row r="38" customFormat="false" ht="15" hidden="false" customHeight="false" outlineLevel="0" collapsed="false">
      <c r="A38" s="32"/>
      <c r="B38" s="32"/>
      <c r="C38" s="32"/>
      <c r="D38" s="32"/>
      <c r="E38" s="33"/>
      <c r="F38" s="33"/>
      <c r="G38" s="34"/>
      <c r="H38" s="34"/>
      <c r="I38" s="34"/>
      <c r="J38" s="34"/>
      <c r="K38" s="32"/>
      <c r="L38" s="35"/>
      <c r="M38" s="33"/>
      <c r="N38" s="33"/>
      <c r="O38" s="27" t="str">
        <f aca="false">IF(A38="","",MAX(E38-F38,0))</f>
        <v/>
      </c>
      <c r="P38" s="28" t="str">
        <f aca="false">IF(OR(A38="",I38=""),"",MAX(Settings!$B$4-I38,0))</f>
        <v/>
      </c>
      <c r="Q38" s="28" t="str">
        <f aca="false">IF(OR(A38="",J38=""),"",Settings!$B$4-J38)</f>
        <v/>
      </c>
      <c r="R38" s="29" t="str">
        <f aca="false">IF(A38="","",IF(OR(K38="Received",AND(E38&lt;&gt;"",O38=0)),"Closed",IF(AND(I38&lt;&gt;"",Settings!$B$4&gt;I38),"Late",IF(AND(H38&lt;&gt;"",Settings!$B$4&gt;H38,K38&lt;&gt;"Shipped"),"Ship overdue",IF(OR(K38="Delayed",AND(I38&lt;&gt;"",I38-Settings!$B$4&lt;=Settings!$B$5,K38&lt;&gt;"Shipped")),"At risk",IF(AND(Q38&lt;&gt;"",Q38&gt;Settings!$B$6),"Stale","On track"))))))</f>
        <v/>
      </c>
      <c r="S38" s="29" t="str">
        <f aca="false">IF(R38="","",IF(R38="Late","Ask for a new ETA and tracking number",IF(R38="Ship overdue","Ask why it hasn't shipped; get a firm ship date",IF(R38="At risk","Confirm the ship date this week",IF(R38="Stale","Request a status update",IF(R38="Closed","-","No action needed"))))))</f>
        <v/>
      </c>
      <c r="T38" s="30" t="str">
        <f aca="false">IF(OR(A38="",N38="",M38=""),"",IF(N38=0,"",M38/N38))</f>
        <v/>
      </c>
      <c r="U38" s="29" t="str">
        <f aca="false">IF(OR(T38="",I38="",R38="Closed"),"",IF(R38="Late","ETA passed: "&amp;ROUND(T38,0)&amp;" days of stock left",IF(Settings!$B$4+T38&lt;I38,"YES: "&amp;ROUND(I38-(Settings!$B$4+T38),0)&amp;" days short","No")))</f>
        <v/>
      </c>
      <c r="V38" s="31" t="str">
        <f aca="false">IF(R38="","",IF(OR(R38="Late",R38="Ship overdue",R38="Stale"),Settings!$B$4,IF(R38="At risk",Settings!$B$4+2,"")))</f>
        <v/>
      </c>
    </row>
    <row r="39" customFormat="false" ht="15" hidden="false" customHeight="false" outlineLevel="0" collapsed="false">
      <c r="A39" s="32"/>
      <c r="B39" s="32"/>
      <c r="C39" s="32"/>
      <c r="D39" s="32"/>
      <c r="E39" s="33"/>
      <c r="F39" s="33"/>
      <c r="G39" s="34"/>
      <c r="H39" s="34"/>
      <c r="I39" s="34"/>
      <c r="J39" s="34"/>
      <c r="K39" s="32"/>
      <c r="L39" s="35"/>
      <c r="M39" s="33"/>
      <c r="N39" s="33"/>
      <c r="O39" s="27" t="str">
        <f aca="false">IF(A39="","",MAX(E39-F39,0))</f>
        <v/>
      </c>
      <c r="P39" s="28" t="str">
        <f aca="false">IF(OR(A39="",I39=""),"",MAX(Settings!$B$4-I39,0))</f>
        <v/>
      </c>
      <c r="Q39" s="28" t="str">
        <f aca="false">IF(OR(A39="",J39=""),"",Settings!$B$4-J39)</f>
        <v/>
      </c>
      <c r="R39" s="29" t="str">
        <f aca="false">IF(A39="","",IF(OR(K39="Received",AND(E39&lt;&gt;"",O39=0)),"Closed",IF(AND(I39&lt;&gt;"",Settings!$B$4&gt;I39),"Late",IF(AND(H39&lt;&gt;"",Settings!$B$4&gt;H39,K39&lt;&gt;"Shipped"),"Ship overdue",IF(OR(K39="Delayed",AND(I39&lt;&gt;"",I39-Settings!$B$4&lt;=Settings!$B$5,K39&lt;&gt;"Shipped")),"At risk",IF(AND(Q39&lt;&gt;"",Q39&gt;Settings!$B$6),"Stale","On track"))))))</f>
        <v/>
      </c>
      <c r="S39" s="29" t="str">
        <f aca="false">IF(R39="","",IF(R39="Late","Ask for a new ETA and tracking number",IF(R39="Ship overdue","Ask why it hasn't shipped; get a firm ship date",IF(R39="At risk","Confirm the ship date this week",IF(R39="Stale","Request a status update",IF(R39="Closed","-","No action needed"))))))</f>
        <v/>
      </c>
      <c r="T39" s="30" t="str">
        <f aca="false">IF(OR(A39="",N39="",M39=""),"",IF(N39=0,"",M39/N39))</f>
        <v/>
      </c>
      <c r="U39" s="29" t="str">
        <f aca="false">IF(OR(T39="",I39="",R39="Closed"),"",IF(R39="Late","ETA passed: "&amp;ROUND(T39,0)&amp;" days of stock left",IF(Settings!$B$4+T39&lt;I39,"YES: "&amp;ROUND(I39-(Settings!$B$4+T39),0)&amp;" days short","No")))</f>
        <v/>
      </c>
      <c r="V39" s="31" t="str">
        <f aca="false">IF(R39="","",IF(OR(R39="Late",R39="Ship overdue",R39="Stale"),Settings!$B$4,IF(R39="At risk",Settings!$B$4+2,"")))</f>
        <v/>
      </c>
    </row>
    <row r="40" customFormat="false" ht="15" hidden="false" customHeight="false" outlineLevel="0" collapsed="false">
      <c r="A40" s="32"/>
      <c r="B40" s="32"/>
      <c r="C40" s="32"/>
      <c r="D40" s="32"/>
      <c r="E40" s="33"/>
      <c r="F40" s="33"/>
      <c r="G40" s="34"/>
      <c r="H40" s="34"/>
      <c r="I40" s="34"/>
      <c r="J40" s="34"/>
      <c r="K40" s="32"/>
      <c r="L40" s="35"/>
      <c r="M40" s="33"/>
      <c r="N40" s="33"/>
      <c r="O40" s="27" t="str">
        <f aca="false">IF(A40="","",MAX(E40-F40,0))</f>
        <v/>
      </c>
      <c r="P40" s="28" t="str">
        <f aca="false">IF(OR(A40="",I40=""),"",MAX(Settings!$B$4-I40,0))</f>
        <v/>
      </c>
      <c r="Q40" s="28" t="str">
        <f aca="false">IF(OR(A40="",J40=""),"",Settings!$B$4-J40)</f>
        <v/>
      </c>
      <c r="R40" s="29" t="str">
        <f aca="false">IF(A40="","",IF(OR(K40="Received",AND(E40&lt;&gt;"",O40=0)),"Closed",IF(AND(I40&lt;&gt;"",Settings!$B$4&gt;I40),"Late",IF(AND(H40&lt;&gt;"",Settings!$B$4&gt;H40,K40&lt;&gt;"Shipped"),"Ship overdue",IF(OR(K40="Delayed",AND(I40&lt;&gt;"",I40-Settings!$B$4&lt;=Settings!$B$5,K40&lt;&gt;"Shipped")),"At risk",IF(AND(Q40&lt;&gt;"",Q40&gt;Settings!$B$6),"Stale","On track"))))))</f>
        <v/>
      </c>
      <c r="S40" s="29" t="str">
        <f aca="false">IF(R40="","",IF(R40="Late","Ask for a new ETA and tracking number",IF(R40="Ship overdue","Ask why it hasn't shipped; get a firm ship date",IF(R40="At risk","Confirm the ship date this week",IF(R40="Stale","Request a status update",IF(R40="Closed","-","No action needed"))))))</f>
        <v/>
      </c>
      <c r="T40" s="30" t="str">
        <f aca="false">IF(OR(A40="",N40="",M40=""),"",IF(N40=0,"",M40/N40))</f>
        <v/>
      </c>
      <c r="U40" s="29" t="str">
        <f aca="false">IF(OR(T40="",I40="",R40="Closed"),"",IF(R40="Late","ETA passed: "&amp;ROUND(T40,0)&amp;" days of stock left",IF(Settings!$B$4+T40&lt;I40,"YES: "&amp;ROUND(I40-(Settings!$B$4+T40),0)&amp;" days short","No")))</f>
        <v/>
      </c>
      <c r="V40" s="31" t="str">
        <f aca="false">IF(R40="","",IF(OR(R40="Late",R40="Ship overdue",R40="Stale"),Settings!$B$4,IF(R40="At risk",Settings!$B$4+2,"")))</f>
        <v/>
      </c>
    </row>
    <row r="41" customFormat="false" ht="15" hidden="false" customHeight="false" outlineLevel="0" collapsed="false">
      <c r="A41" s="32"/>
      <c r="B41" s="32"/>
      <c r="C41" s="32"/>
      <c r="D41" s="32"/>
      <c r="E41" s="33"/>
      <c r="F41" s="33"/>
      <c r="G41" s="34"/>
      <c r="H41" s="34"/>
      <c r="I41" s="34"/>
      <c r="J41" s="34"/>
      <c r="K41" s="32"/>
      <c r="L41" s="35"/>
      <c r="M41" s="33"/>
      <c r="N41" s="33"/>
      <c r="O41" s="27" t="str">
        <f aca="false">IF(A41="","",MAX(E41-F41,0))</f>
        <v/>
      </c>
      <c r="P41" s="28" t="str">
        <f aca="false">IF(OR(A41="",I41=""),"",MAX(Settings!$B$4-I41,0))</f>
        <v/>
      </c>
      <c r="Q41" s="28" t="str">
        <f aca="false">IF(OR(A41="",J41=""),"",Settings!$B$4-J41)</f>
        <v/>
      </c>
      <c r="R41" s="29" t="str">
        <f aca="false">IF(A41="","",IF(OR(K41="Received",AND(E41&lt;&gt;"",O41=0)),"Closed",IF(AND(I41&lt;&gt;"",Settings!$B$4&gt;I41),"Late",IF(AND(H41&lt;&gt;"",Settings!$B$4&gt;H41,K41&lt;&gt;"Shipped"),"Ship overdue",IF(OR(K41="Delayed",AND(I41&lt;&gt;"",I41-Settings!$B$4&lt;=Settings!$B$5,K41&lt;&gt;"Shipped")),"At risk",IF(AND(Q41&lt;&gt;"",Q41&gt;Settings!$B$6),"Stale","On track"))))))</f>
        <v/>
      </c>
      <c r="S41" s="29" t="str">
        <f aca="false">IF(R41="","",IF(R41="Late","Ask for a new ETA and tracking number",IF(R41="Ship overdue","Ask why it hasn't shipped; get a firm ship date",IF(R41="At risk","Confirm the ship date this week",IF(R41="Stale","Request a status update",IF(R41="Closed","-","No action needed"))))))</f>
        <v/>
      </c>
      <c r="T41" s="30" t="str">
        <f aca="false">IF(OR(A41="",N41="",M41=""),"",IF(N41=0,"",M41/N41))</f>
        <v/>
      </c>
      <c r="U41" s="29" t="str">
        <f aca="false">IF(OR(T41="",I41="",R41="Closed"),"",IF(R41="Late","ETA passed: "&amp;ROUND(T41,0)&amp;" days of stock left",IF(Settings!$B$4+T41&lt;I41,"YES: "&amp;ROUND(I41-(Settings!$B$4+T41),0)&amp;" days short","No")))</f>
        <v/>
      </c>
      <c r="V41" s="31" t="str">
        <f aca="false">IF(R41="","",IF(OR(R41="Late",R41="Ship overdue",R41="Stale"),Settings!$B$4,IF(R41="At risk",Settings!$B$4+2,"")))</f>
        <v/>
      </c>
    </row>
    <row r="42" customFormat="false" ht="15" hidden="false" customHeight="false" outlineLevel="0" collapsed="false">
      <c r="A42" s="32"/>
      <c r="B42" s="32"/>
      <c r="C42" s="32"/>
      <c r="D42" s="32"/>
      <c r="E42" s="33"/>
      <c r="F42" s="33"/>
      <c r="G42" s="34"/>
      <c r="H42" s="34"/>
      <c r="I42" s="34"/>
      <c r="J42" s="34"/>
      <c r="K42" s="32"/>
      <c r="L42" s="35"/>
      <c r="M42" s="33"/>
      <c r="N42" s="33"/>
      <c r="O42" s="27" t="str">
        <f aca="false">IF(A42="","",MAX(E42-F42,0))</f>
        <v/>
      </c>
      <c r="P42" s="28" t="str">
        <f aca="false">IF(OR(A42="",I42=""),"",MAX(Settings!$B$4-I42,0))</f>
        <v/>
      </c>
      <c r="Q42" s="28" t="str">
        <f aca="false">IF(OR(A42="",J42=""),"",Settings!$B$4-J42)</f>
        <v/>
      </c>
      <c r="R42" s="29" t="str">
        <f aca="false">IF(A42="","",IF(OR(K42="Received",AND(E42&lt;&gt;"",O42=0)),"Closed",IF(AND(I42&lt;&gt;"",Settings!$B$4&gt;I42),"Late",IF(AND(H42&lt;&gt;"",Settings!$B$4&gt;H42,K42&lt;&gt;"Shipped"),"Ship overdue",IF(OR(K42="Delayed",AND(I42&lt;&gt;"",I42-Settings!$B$4&lt;=Settings!$B$5,K42&lt;&gt;"Shipped")),"At risk",IF(AND(Q42&lt;&gt;"",Q42&gt;Settings!$B$6),"Stale","On track"))))))</f>
        <v/>
      </c>
      <c r="S42" s="29" t="str">
        <f aca="false">IF(R42="","",IF(R42="Late","Ask for a new ETA and tracking number",IF(R42="Ship overdue","Ask why it hasn't shipped; get a firm ship date",IF(R42="At risk","Confirm the ship date this week",IF(R42="Stale","Request a status update",IF(R42="Closed","-","No action needed"))))))</f>
        <v/>
      </c>
      <c r="T42" s="30" t="str">
        <f aca="false">IF(OR(A42="",N42="",M42=""),"",IF(N42=0,"",M42/N42))</f>
        <v/>
      </c>
      <c r="U42" s="29" t="str">
        <f aca="false">IF(OR(T42="",I42="",R42="Closed"),"",IF(R42="Late","ETA passed: "&amp;ROUND(T42,0)&amp;" days of stock left",IF(Settings!$B$4+T42&lt;I42,"YES: "&amp;ROUND(I42-(Settings!$B$4+T42),0)&amp;" days short","No")))</f>
        <v/>
      </c>
      <c r="V42" s="31" t="str">
        <f aca="false">IF(R42="","",IF(OR(R42="Late",R42="Ship overdue",R42="Stale"),Settings!$B$4,IF(R42="At risk",Settings!$B$4+2,"")))</f>
        <v/>
      </c>
    </row>
    <row r="43" customFormat="false" ht="15" hidden="false" customHeight="false" outlineLevel="0" collapsed="false">
      <c r="A43" s="32"/>
      <c r="B43" s="32"/>
      <c r="C43" s="32"/>
      <c r="D43" s="32"/>
      <c r="E43" s="33"/>
      <c r="F43" s="33"/>
      <c r="G43" s="34"/>
      <c r="H43" s="34"/>
      <c r="I43" s="34"/>
      <c r="J43" s="34"/>
      <c r="K43" s="32"/>
      <c r="L43" s="35"/>
      <c r="M43" s="33"/>
      <c r="N43" s="33"/>
      <c r="O43" s="27" t="str">
        <f aca="false">IF(A43="","",MAX(E43-F43,0))</f>
        <v/>
      </c>
      <c r="P43" s="28" t="str">
        <f aca="false">IF(OR(A43="",I43=""),"",MAX(Settings!$B$4-I43,0))</f>
        <v/>
      </c>
      <c r="Q43" s="28" t="str">
        <f aca="false">IF(OR(A43="",J43=""),"",Settings!$B$4-J43)</f>
        <v/>
      </c>
      <c r="R43" s="29" t="str">
        <f aca="false">IF(A43="","",IF(OR(K43="Received",AND(E43&lt;&gt;"",O43=0)),"Closed",IF(AND(I43&lt;&gt;"",Settings!$B$4&gt;I43),"Late",IF(AND(H43&lt;&gt;"",Settings!$B$4&gt;H43,K43&lt;&gt;"Shipped"),"Ship overdue",IF(OR(K43="Delayed",AND(I43&lt;&gt;"",I43-Settings!$B$4&lt;=Settings!$B$5,K43&lt;&gt;"Shipped")),"At risk",IF(AND(Q43&lt;&gt;"",Q43&gt;Settings!$B$6),"Stale","On track"))))))</f>
        <v/>
      </c>
      <c r="S43" s="29" t="str">
        <f aca="false">IF(R43="","",IF(R43="Late","Ask for a new ETA and tracking number",IF(R43="Ship overdue","Ask why it hasn't shipped; get a firm ship date",IF(R43="At risk","Confirm the ship date this week",IF(R43="Stale","Request a status update",IF(R43="Closed","-","No action needed"))))))</f>
        <v/>
      </c>
      <c r="T43" s="30" t="str">
        <f aca="false">IF(OR(A43="",N43="",M43=""),"",IF(N43=0,"",M43/N43))</f>
        <v/>
      </c>
      <c r="U43" s="29" t="str">
        <f aca="false">IF(OR(T43="",I43="",R43="Closed"),"",IF(R43="Late","ETA passed: "&amp;ROUND(T43,0)&amp;" days of stock left",IF(Settings!$B$4+T43&lt;I43,"YES: "&amp;ROUND(I43-(Settings!$B$4+T43),0)&amp;" days short","No")))</f>
        <v/>
      </c>
      <c r="V43" s="31" t="str">
        <f aca="false">IF(R43="","",IF(OR(R43="Late",R43="Ship overdue",R43="Stale"),Settings!$B$4,IF(R43="At risk",Settings!$B$4+2,"")))</f>
        <v/>
      </c>
    </row>
    <row r="44" customFormat="false" ht="15" hidden="false" customHeight="false" outlineLevel="0" collapsed="false">
      <c r="A44" s="32"/>
      <c r="B44" s="32"/>
      <c r="C44" s="32"/>
      <c r="D44" s="32"/>
      <c r="E44" s="33"/>
      <c r="F44" s="33"/>
      <c r="G44" s="34"/>
      <c r="H44" s="34"/>
      <c r="I44" s="34"/>
      <c r="J44" s="34"/>
      <c r="K44" s="32"/>
      <c r="L44" s="35"/>
      <c r="M44" s="33"/>
      <c r="N44" s="33"/>
      <c r="O44" s="27" t="str">
        <f aca="false">IF(A44="","",MAX(E44-F44,0))</f>
        <v/>
      </c>
      <c r="P44" s="28" t="str">
        <f aca="false">IF(OR(A44="",I44=""),"",MAX(Settings!$B$4-I44,0))</f>
        <v/>
      </c>
      <c r="Q44" s="28" t="str">
        <f aca="false">IF(OR(A44="",J44=""),"",Settings!$B$4-J44)</f>
        <v/>
      </c>
      <c r="R44" s="29" t="str">
        <f aca="false">IF(A44="","",IF(OR(K44="Received",AND(E44&lt;&gt;"",O44=0)),"Closed",IF(AND(I44&lt;&gt;"",Settings!$B$4&gt;I44),"Late",IF(AND(H44&lt;&gt;"",Settings!$B$4&gt;H44,K44&lt;&gt;"Shipped"),"Ship overdue",IF(OR(K44="Delayed",AND(I44&lt;&gt;"",I44-Settings!$B$4&lt;=Settings!$B$5,K44&lt;&gt;"Shipped")),"At risk",IF(AND(Q44&lt;&gt;"",Q44&gt;Settings!$B$6),"Stale","On track"))))))</f>
        <v/>
      </c>
      <c r="S44" s="29" t="str">
        <f aca="false">IF(R44="","",IF(R44="Late","Ask for a new ETA and tracking number",IF(R44="Ship overdue","Ask why it hasn't shipped; get a firm ship date",IF(R44="At risk","Confirm the ship date this week",IF(R44="Stale","Request a status update",IF(R44="Closed","-","No action needed"))))))</f>
        <v/>
      </c>
      <c r="T44" s="30" t="str">
        <f aca="false">IF(OR(A44="",N44="",M44=""),"",IF(N44=0,"",M44/N44))</f>
        <v/>
      </c>
      <c r="U44" s="29" t="str">
        <f aca="false">IF(OR(T44="",I44="",R44="Closed"),"",IF(R44="Late","ETA passed: "&amp;ROUND(T44,0)&amp;" days of stock left",IF(Settings!$B$4+T44&lt;I44,"YES: "&amp;ROUND(I44-(Settings!$B$4+T44),0)&amp;" days short","No")))</f>
        <v/>
      </c>
      <c r="V44" s="31" t="str">
        <f aca="false">IF(R44="","",IF(OR(R44="Late",R44="Ship overdue",R44="Stale"),Settings!$B$4,IF(R44="At risk",Settings!$B$4+2,"")))</f>
        <v/>
      </c>
    </row>
    <row r="45" customFormat="false" ht="15" hidden="false" customHeight="false" outlineLevel="0" collapsed="false">
      <c r="A45" s="32"/>
      <c r="B45" s="32"/>
      <c r="C45" s="32"/>
      <c r="D45" s="32"/>
      <c r="E45" s="33"/>
      <c r="F45" s="33"/>
      <c r="G45" s="34"/>
      <c r="H45" s="34"/>
      <c r="I45" s="34"/>
      <c r="J45" s="34"/>
      <c r="K45" s="32"/>
      <c r="L45" s="35"/>
      <c r="M45" s="33"/>
      <c r="N45" s="33"/>
      <c r="O45" s="27" t="str">
        <f aca="false">IF(A45="","",MAX(E45-F45,0))</f>
        <v/>
      </c>
      <c r="P45" s="28" t="str">
        <f aca="false">IF(OR(A45="",I45=""),"",MAX(Settings!$B$4-I45,0))</f>
        <v/>
      </c>
      <c r="Q45" s="28" t="str">
        <f aca="false">IF(OR(A45="",J45=""),"",Settings!$B$4-J45)</f>
        <v/>
      </c>
      <c r="R45" s="29" t="str">
        <f aca="false">IF(A45="","",IF(OR(K45="Received",AND(E45&lt;&gt;"",O45=0)),"Closed",IF(AND(I45&lt;&gt;"",Settings!$B$4&gt;I45),"Late",IF(AND(H45&lt;&gt;"",Settings!$B$4&gt;H45,K45&lt;&gt;"Shipped"),"Ship overdue",IF(OR(K45="Delayed",AND(I45&lt;&gt;"",I45-Settings!$B$4&lt;=Settings!$B$5,K45&lt;&gt;"Shipped")),"At risk",IF(AND(Q45&lt;&gt;"",Q45&gt;Settings!$B$6),"Stale","On track"))))))</f>
        <v/>
      </c>
      <c r="S45" s="29" t="str">
        <f aca="false">IF(R45="","",IF(R45="Late","Ask for a new ETA and tracking number",IF(R45="Ship overdue","Ask why it hasn't shipped; get a firm ship date",IF(R45="At risk","Confirm the ship date this week",IF(R45="Stale","Request a status update",IF(R45="Closed","-","No action needed"))))))</f>
        <v/>
      </c>
      <c r="T45" s="30" t="str">
        <f aca="false">IF(OR(A45="",N45="",M45=""),"",IF(N45=0,"",M45/N45))</f>
        <v/>
      </c>
      <c r="U45" s="29" t="str">
        <f aca="false">IF(OR(T45="",I45="",R45="Closed"),"",IF(R45="Late","ETA passed: "&amp;ROUND(T45,0)&amp;" days of stock left",IF(Settings!$B$4+T45&lt;I45,"YES: "&amp;ROUND(I45-(Settings!$B$4+T45),0)&amp;" days short","No")))</f>
        <v/>
      </c>
      <c r="V45" s="31" t="str">
        <f aca="false">IF(R45="","",IF(OR(R45="Late",R45="Ship overdue",R45="Stale"),Settings!$B$4,IF(R45="At risk",Settings!$B$4+2,"")))</f>
        <v/>
      </c>
    </row>
    <row r="46" customFormat="false" ht="15" hidden="false" customHeight="false" outlineLevel="0" collapsed="false">
      <c r="A46" s="32"/>
      <c r="B46" s="32"/>
      <c r="C46" s="32"/>
      <c r="D46" s="32"/>
      <c r="E46" s="33"/>
      <c r="F46" s="33"/>
      <c r="G46" s="34"/>
      <c r="H46" s="34"/>
      <c r="I46" s="34"/>
      <c r="J46" s="34"/>
      <c r="K46" s="32"/>
      <c r="L46" s="35"/>
      <c r="M46" s="33"/>
      <c r="N46" s="33"/>
      <c r="O46" s="27" t="str">
        <f aca="false">IF(A46="","",MAX(E46-F46,0))</f>
        <v/>
      </c>
      <c r="P46" s="28" t="str">
        <f aca="false">IF(OR(A46="",I46=""),"",MAX(Settings!$B$4-I46,0))</f>
        <v/>
      </c>
      <c r="Q46" s="28" t="str">
        <f aca="false">IF(OR(A46="",J46=""),"",Settings!$B$4-J46)</f>
        <v/>
      </c>
      <c r="R46" s="29" t="str">
        <f aca="false">IF(A46="","",IF(OR(K46="Received",AND(E46&lt;&gt;"",O46=0)),"Closed",IF(AND(I46&lt;&gt;"",Settings!$B$4&gt;I46),"Late",IF(AND(H46&lt;&gt;"",Settings!$B$4&gt;H46,K46&lt;&gt;"Shipped"),"Ship overdue",IF(OR(K46="Delayed",AND(I46&lt;&gt;"",I46-Settings!$B$4&lt;=Settings!$B$5,K46&lt;&gt;"Shipped")),"At risk",IF(AND(Q46&lt;&gt;"",Q46&gt;Settings!$B$6),"Stale","On track"))))))</f>
        <v/>
      </c>
      <c r="S46" s="29" t="str">
        <f aca="false">IF(R46="","",IF(R46="Late","Ask for a new ETA and tracking number",IF(R46="Ship overdue","Ask why it hasn't shipped; get a firm ship date",IF(R46="At risk","Confirm the ship date this week",IF(R46="Stale","Request a status update",IF(R46="Closed","-","No action needed"))))))</f>
        <v/>
      </c>
      <c r="T46" s="30" t="str">
        <f aca="false">IF(OR(A46="",N46="",M46=""),"",IF(N46=0,"",M46/N46))</f>
        <v/>
      </c>
      <c r="U46" s="29" t="str">
        <f aca="false">IF(OR(T46="",I46="",R46="Closed"),"",IF(R46="Late","ETA passed: "&amp;ROUND(T46,0)&amp;" days of stock left",IF(Settings!$B$4+T46&lt;I46,"YES: "&amp;ROUND(I46-(Settings!$B$4+T46),0)&amp;" days short","No")))</f>
        <v/>
      </c>
      <c r="V46" s="31" t="str">
        <f aca="false">IF(R46="","",IF(OR(R46="Late",R46="Ship overdue",R46="Stale"),Settings!$B$4,IF(R46="At risk",Settings!$B$4+2,"")))</f>
        <v/>
      </c>
    </row>
    <row r="47" customFormat="false" ht="15" hidden="false" customHeight="false" outlineLevel="0" collapsed="false">
      <c r="A47" s="32"/>
      <c r="B47" s="32"/>
      <c r="C47" s="32"/>
      <c r="D47" s="32"/>
      <c r="E47" s="33"/>
      <c r="F47" s="33"/>
      <c r="G47" s="34"/>
      <c r="H47" s="34"/>
      <c r="I47" s="34"/>
      <c r="J47" s="34"/>
      <c r="K47" s="32"/>
      <c r="L47" s="35"/>
      <c r="M47" s="33"/>
      <c r="N47" s="33"/>
      <c r="O47" s="27" t="str">
        <f aca="false">IF(A47="","",MAX(E47-F47,0))</f>
        <v/>
      </c>
      <c r="P47" s="28" t="str">
        <f aca="false">IF(OR(A47="",I47=""),"",MAX(Settings!$B$4-I47,0))</f>
        <v/>
      </c>
      <c r="Q47" s="28" t="str">
        <f aca="false">IF(OR(A47="",J47=""),"",Settings!$B$4-J47)</f>
        <v/>
      </c>
      <c r="R47" s="29" t="str">
        <f aca="false">IF(A47="","",IF(OR(K47="Received",AND(E47&lt;&gt;"",O47=0)),"Closed",IF(AND(I47&lt;&gt;"",Settings!$B$4&gt;I47),"Late",IF(AND(H47&lt;&gt;"",Settings!$B$4&gt;H47,K47&lt;&gt;"Shipped"),"Ship overdue",IF(OR(K47="Delayed",AND(I47&lt;&gt;"",I47-Settings!$B$4&lt;=Settings!$B$5,K47&lt;&gt;"Shipped")),"At risk",IF(AND(Q47&lt;&gt;"",Q47&gt;Settings!$B$6),"Stale","On track"))))))</f>
        <v/>
      </c>
      <c r="S47" s="29" t="str">
        <f aca="false">IF(R47="","",IF(R47="Late","Ask for a new ETA and tracking number",IF(R47="Ship overdue","Ask why it hasn't shipped; get a firm ship date",IF(R47="At risk","Confirm the ship date this week",IF(R47="Stale","Request a status update",IF(R47="Closed","-","No action needed"))))))</f>
        <v/>
      </c>
      <c r="T47" s="30" t="str">
        <f aca="false">IF(OR(A47="",N47="",M47=""),"",IF(N47=0,"",M47/N47))</f>
        <v/>
      </c>
      <c r="U47" s="29" t="str">
        <f aca="false">IF(OR(T47="",I47="",R47="Closed"),"",IF(R47="Late","ETA passed: "&amp;ROUND(T47,0)&amp;" days of stock left",IF(Settings!$B$4+T47&lt;I47,"YES: "&amp;ROUND(I47-(Settings!$B$4+T47),0)&amp;" days short","No")))</f>
        <v/>
      </c>
      <c r="V47" s="31" t="str">
        <f aca="false">IF(R47="","",IF(OR(R47="Late",R47="Ship overdue",R47="Stale"),Settings!$B$4,IF(R47="At risk",Settings!$B$4+2,"")))</f>
        <v/>
      </c>
    </row>
    <row r="48" customFormat="false" ht="15" hidden="false" customHeight="false" outlineLevel="0" collapsed="false">
      <c r="A48" s="32"/>
      <c r="B48" s="32"/>
      <c r="C48" s="32"/>
      <c r="D48" s="32"/>
      <c r="E48" s="33"/>
      <c r="F48" s="33"/>
      <c r="G48" s="34"/>
      <c r="H48" s="34"/>
      <c r="I48" s="34"/>
      <c r="J48" s="34"/>
      <c r="K48" s="32"/>
      <c r="L48" s="35"/>
      <c r="M48" s="33"/>
      <c r="N48" s="33"/>
      <c r="O48" s="27" t="str">
        <f aca="false">IF(A48="","",MAX(E48-F48,0))</f>
        <v/>
      </c>
      <c r="P48" s="28" t="str">
        <f aca="false">IF(OR(A48="",I48=""),"",MAX(Settings!$B$4-I48,0))</f>
        <v/>
      </c>
      <c r="Q48" s="28" t="str">
        <f aca="false">IF(OR(A48="",J48=""),"",Settings!$B$4-J48)</f>
        <v/>
      </c>
      <c r="R48" s="29" t="str">
        <f aca="false">IF(A48="","",IF(OR(K48="Received",AND(E48&lt;&gt;"",O48=0)),"Closed",IF(AND(I48&lt;&gt;"",Settings!$B$4&gt;I48),"Late",IF(AND(H48&lt;&gt;"",Settings!$B$4&gt;H48,K48&lt;&gt;"Shipped"),"Ship overdue",IF(OR(K48="Delayed",AND(I48&lt;&gt;"",I48-Settings!$B$4&lt;=Settings!$B$5,K48&lt;&gt;"Shipped")),"At risk",IF(AND(Q48&lt;&gt;"",Q48&gt;Settings!$B$6),"Stale","On track"))))))</f>
        <v/>
      </c>
      <c r="S48" s="29" t="str">
        <f aca="false">IF(R48="","",IF(R48="Late","Ask for a new ETA and tracking number",IF(R48="Ship overdue","Ask why it hasn't shipped; get a firm ship date",IF(R48="At risk","Confirm the ship date this week",IF(R48="Stale","Request a status update",IF(R48="Closed","-","No action needed"))))))</f>
        <v/>
      </c>
      <c r="T48" s="30" t="str">
        <f aca="false">IF(OR(A48="",N48="",M48=""),"",IF(N48=0,"",M48/N48))</f>
        <v/>
      </c>
      <c r="U48" s="29" t="str">
        <f aca="false">IF(OR(T48="",I48="",R48="Closed"),"",IF(R48="Late","ETA passed: "&amp;ROUND(T48,0)&amp;" days of stock left",IF(Settings!$B$4+T48&lt;I48,"YES: "&amp;ROUND(I48-(Settings!$B$4+T48),0)&amp;" days short","No")))</f>
        <v/>
      </c>
      <c r="V48" s="31" t="str">
        <f aca="false">IF(R48="","",IF(OR(R48="Late",R48="Ship overdue",R48="Stale"),Settings!$B$4,IF(R48="At risk",Settings!$B$4+2,"")))</f>
        <v/>
      </c>
    </row>
    <row r="49" customFormat="false" ht="15" hidden="false" customHeight="false" outlineLevel="0" collapsed="false">
      <c r="A49" s="32"/>
      <c r="B49" s="32"/>
      <c r="C49" s="32"/>
      <c r="D49" s="32"/>
      <c r="E49" s="33"/>
      <c r="F49" s="33"/>
      <c r="G49" s="34"/>
      <c r="H49" s="34"/>
      <c r="I49" s="34"/>
      <c r="J49" s="34"/>
      <c r="K49" s="32"/>
      <c r="L49" s="35"/>
      <c r="M49" s="33"/>
      <c r="N49" s="33"/>
      <c r="O49" s="27" t="str">
        <f aca="false">IF(A49="","",MAX(E49-F49,0))</f>
        <v/>
      </c>
      <c r="P49" s="28" t="str">
        <f aca="false">IF(OR(A49="",I49=""),"",MAX(Settings!$B$4-I49,0))</f>
        <v/>
      </c>
      <c r="Q49" s="28" t="str">
        <f aca="false">IF(OR(A49="",J49=""),"",Settings!$B$4-J49)</f>
        <v/>
      </c>
      <c r="R49" s="29" t="str">
        <f aca="false">IF(A49="","",IF(OR(K49="Received",AND(E49&lt;&gt;"",O49=0)),"Closed",IF(AND(I49&lt;&gt;"",Settings!$B$4&gt;I49),"Late",IF(AND(H49&lt;&gt;"",Settings!$B$4&gt;H49,K49&lt;&gt;"Shipped"),"Ship overdue",IF(OR(K49="Delayed",AND(I49&lt;&gt;"",I49-Settings!$B$4&lt;=Settings!$B$5,K49&lt;&gt;"Shipped")),"At risk",IF(AND(Q49&lt;&gt;"",Q49&gt;Settings!$B$6),"Stale","On track"))))))</f>
        <v/>
      </c>
      <c r="S49" s="29" t="str">
        <f aca="false">IF(R49="","",IF(R49="Late","Ask for a new ETA and tracking number",IF(R49="Ship overdue","Ask why it hasn't shipped; get a firm ship date",IF(R49="At risk","Confirm the ship date this week",IF(R49="Stale","Request a status update",IF(R49="Closed","-","No action needed"))))))</f>
        <v/>
      </c>
      <c r="T49" s="30" t="str">
        <f aca="false">IF(OR(A49="",N49="",M49=""),"",IF(N49=0,"",M49/N49))</f>
        <v/>
      </c>
      <c r="U49" s="29" t="str">
        <f aca="false">IF(OR(T49="",I49="",R49="Closed"),"",IF(R49="Late","ETA passed: "&amp;ROUND(T49,0)&amp;" days of stock left",IF(Settings!$B$4+T49&lt;I49,"YES: "&amp;ROUND(I49-(Settings!$B$4+T49),0)&amp;" days short","No")))</f>
        <v/>
      </c>
      <c r="V49" s="31" t="str">
        <f aca="false">IF(R49="","",IF(OR(R49="Late",R49="Ship overdue",R49="Stale"),Settings!$B$4,IF(R49="At risk",Settings!$B$4+2,"")))</f>
        <v/>
      </c>
    </row>
    <row r="50" customFormat="false" ht="15" hidden="false" customHeight="false" outlineLevel="0" collapsed="false">
      <c r="A50" s="32"/>
      <c r="B50" s="32"/>
      <c r="C50" s="32"/>
      <c r="D50" s="32"/>
      <c r="E50" s="33"/>
      <c r="F50" s="33"/>
      <c r="G50" s="34"/>
      <c r="H50" s="34"/>
      <c r="I50" s="34"/>
      <c r="J50" s="34"/>
      <c r="K50" s="32"/>
      <c r="L50" s="35"/>
      <c r="M50" s="33"/>
      <c r="N50" s="33"/>
      <c r="O50" s="27" t="str">
        <f aca="false">IF(A50="","",MAX(E50-F50,0))</f>
        <v/>
      </c>
      <c r="P50" s="28" t="str">
        <f aca="false">IF(OR(A50="",I50=""),"",MAX(Settings!$B$4-I50,0))</f>
        <v/>
      </c>
      <c r="Q50" s="28" t="str">
        <f aca="false">IF(OR(A50="",J50=""),"",Settings!$B$4-J50)</f>
        <v/>
      </c>
      <c r="R50" s="29" t="str">
        <f aca="false">IF(A50="","",IF(OR(K50="Received",AND(E50&lt;&gt;"",O50=0)),"Closed",IF(AND(I50&lt;&gt;"",Settings!$B$4&gt;I50),"Late",IF(AND(H50&lt;&gt;"",Settings!$B$4&gt;H50,K50&lt;&gt;"Shipped"),"Ship overdue",IF(OR(K50="Delayed",AND(I50&lt;&gt;"",I50-Settings!$B$4&lt;=Settings!$B$5,K50&lt;&gt;"Shipped")),"At risk",IF(AND(Q50&lt;&gt;"",Q50&gt;Settings!$B$6),"Stale","On track"))))))</f>
        <v/>
      </c>
      <c r="S50" s="29" t="str">
        <f aca="false">IF(R50="","",IF(R50="Late","Ask for a new ETA and tracking number",IF(R50="Ship overdue","Ask why it hasn't shipped; get a firm ship date",IF(R50="At risk","Confirm the ship date this week",IF(R50="Stale","Request a status update",IF(R50="Closed","-","No action needed"))))))</f>
        <v/>
      </c>
      <c r="T50" s="30" t="str">
        <f aca="false">IF(OR(A50="",N50="",M50=""),"",IF(N50=0,"",M50/N50))</f>
        <v/>
      </c>
      <c r="U50" s="29" t="str">
        <f aca="false">IF(OR(T50="",I50="",R50="Closed"),"",IF(R50="Late","ETA passed: "&amp;ROUND(T50,0)&amp;" days of stock left",IF(Settings!$B$4+T50&lt;I50,"YES: "&amp;ROUND(I50-(Settings!$B$4+T50),0)&amp;" days short","No")))</f>
        <v/>
      </c>
      <c r="V50" s="31" t="str">
        <f aca="false">IF(R50="","",IF(OR(R50="Late",R50="Ship overdue",R50="Stale"),Settings!$B$4,IF(R50="At risk",Settings!$B$4+2,"")))</f>
        <v/>
      </c>
    </row>
    <row r="51" customFormat="false" ht="15" hidden="false" customHeight="false" outlineLevel="0" collapsed="false">
      <c r="A51" s="32"/>
      <c r="B51" s="32"/>
      <c r="C51" s="32"/>
      <c r="D51" s="32"/>
      <c r="E51" s="33"/>
      <c r="F51" s="33"/>
      <c r="G51" s="34"/>
      <c r="H51" s="34"/>
      <c r="I51" s="34"/>
      <c r="J51" s="34"/>
      <c r="K51" s="32"/>
      <c r="L51" s="35"/>
      <c r="M51" s="33"/>
      <c r="N51" s="33"/>
      <c r="O51" s="27" t="str">
        <f aca="false">IF(A51="","",MAX(E51-F51,0))</f>
        <v/>
      </c>
      <c r="P51" s="28" t="str">
        <f aca="false">IF(OR(A51="",I51=""),"",MAX(Settings!$B$4-I51,0))</f>
        <v/>
      </c>
      <c r="Q51" s="28" t="str">
        <f aca="false">IF(OR(A51="",J51=""),"",Settings!$B$4-J51)</f>
        <v/>
      </c>
      <c r="R51" s="29" t="str">
        <f aca="false">IF(A51="","",IF(OR(K51="Received",AND(E51&lt;&gt;"",O51=0)),"Closed",IF(AND(I51&lt;&gt;"",Settings!$B$4&gt;I51),"Late",IF(AND(H51&lt;&gt;"",Settings!$B$4&gt;H51,K51&lt;&gt;"Shipped"),"Ship overdue",IF(OR(K51="Delayed",AND(I51&lt;&gt;"",I51-Settings!$B$4&lt;=Settings!$B$5,K51&lt;&gt;"Shipped")),"At risk",IF(AND(Q51&lt;&gt;"",Q51&gt;Settings!$B$6),"Stale","On track"))))))</f>
        <v/>
      </c>
      <c r="S51" s="29" t="str">
        <f aca="false">IF(R51="","",IF(R51="Late","Ask for a new ETA and tracking number",IF(R51="Ship overdue","Ask why it hasn't shipped; get a firm ship date",IF(R51="At risk","Confirm the ship date this week",IF(R51="Stale","Request a status update",IF(R51="Closed","-","No action needed"))))))</f>
        <v/>
      </c>
      <c r="T51" s="30" t="str">
        <f aca="false">IF(OR(A51="",N51="",M51=""),"",IF(N51=0,"",M51/N51))</f>
        <v/>
      </c>
      <c r="U51" s="29" t="str">
        <f aca="false">IF(OR(T51="",I51="",R51="Closed"),"",IF(R51="Late","ETA passed: "&amp;ROUND(T51,0)&amp;" days of stock left",IF(Settings!$B$4+T51&lt;I51,"YES: "&amp;ROUND(I51-(Settings!$B$4+T51),0)&amp;" days short","No")))</f>
        <v/>
      </c>
      <c r="V51" s="31" t="str">
        <f aca="false">IF(R51="","",IF(OR(R51="Late",R51="Ship overdue",R51="Stale"),Settings!$B$4,IF(R51="At risk",Settings!$B$4+2,"")))</f>
        <v/>
      </c>
    </row>
    <row r="52" customFormat="false" ht="15" hidden="false" customHeight="false" outlineLevel="0" collapsed="false">
      <c r="A52" s="32"/>
      <c r="B52" s="32"/>
      <c r="C52" s="32"/>
      <c r="D52" s="32"/>
      <c r="E52" s="33"/>
      <c r="F52" s="33"/>
      <c r="G52" s="34"/>
      <c r="H52" s="34"/>
      <c r="I52" s="34"/>
      <c r="J52" s="34"/>
      <c r="K52" s="32"/>
      <c r="L52" s="35"/>
      <c r="M52" s="33"/>
      <c r="N52" s="33"/>
      <c r="O52" s="27" t="str">
        <f aca="false">IF(A52="","",MAX(E52-F52,0))</f>
        <v/>
      </c>
      <c r="P52" s="28" t="str">
        <f aca="false">IF(OR(A52="",I52=""),"",MAX(Settings!$B$4-I52,0))</f>
        <v/>
      </c>
      <c r="Q52" s="28" t="str">
        <f aca="false">IF(OR(A52="",J52=""),"",Settings!$B$4-J52)</f>
        <v/>
      </c>
      <c r="R52" s="29" t="str">
        <f aca="false">IF(A52="","",IF(OR(K52="Received",AND(E52&lt;&gt;"",O52=0)),"Closed",IF(AND(I52&lt;&gt;"",Settings!$B$4&gt;I52),"Late",IF(AND(H52&lt;&gt;"",Settings!$B$4&gt;H52,K52&lt;&gt;"Shipped"),"Ship overdue",IF(OR(K52="Delayed",AND(I52&lt;&gt;"",I52-Settings!$B$4&lt;=Settings!$B$5,K52&lt;&gt;"Shipped")),"At risk",IF(AND(Q52&lt;&gt;"",Q52&gt;Settings!$B$6),"Stale","On track"))))))</f>
        <v/>
      </c>
      <c r="S52" s="29" t="str">
        <f aca="false">IF(R52="","",IF(R52="Late","Ask for a new ETA and tracking number",IF(R52="Ship overdue","Ask why it hasn't shipped; get a firm ship date",IF(R52="At risk","Confirm the ship date this week",IF(R52="Stale","Request a status update",IF(R52="Closed","-","No action needed"))))))</f>
        <v/>
      </c>
      <c r="T52" s="30" t="str">
        <f aca="false">IF(OR(A52="",N52="",M52=""),"",IF(N52=0,"",M52/N52))</f>
        <v/>
      </c>
      <c r="U52" s="29" t="str">
        <f aca="false">IF(OR(T52="",I52="",R52="Closed"),"",IF(R52="Late","ETA passed: "&amp;ROUND(T52,0)&amp;" days of stock left",IF(Settings!$B$4+T52&lt;I52,"YES: "&amp;ROUND(I52-(Settings!$B$4+T52),0)&amp;" days short","No")))</f>
        <v/>
      </c>
      <c r="V52" s="31" t="str">
        <f aca="false">IF(R52="","",IF(OR(R52="Late",R52="Ship overdue",R52="Stale"),Settings!$B$4,IF(R52="At risk",Settings!$B$4+2,"")))</f>
        <v/>
      </c>
    </row>
    <row r="53" customFormat="false" ht="15" hidden="false" customHeight="false" outlineLevel="0" collapsed="false">
      <c r="A53" s="32"/>
      <c r="B53" s="32"/>
      <c r="C53" s="32"/>
      <c r="D53" s="32"/>
      <c r="E53" s="33"/>
      <c r="F53" s="33"/>
      <c r="G53" s="34"/>
      <c r="H53" s="34"/>
      <c r="I53" s="34"/>
      <c r="J53" s="34"/>
      <c r="K53" s="32"/>
      <c r="L53" s="35"/>
      <c r="M53" s="33"/>
      <c r="N53" s="33"/>
      <c r="O53" s="27" t="str">
        <f aca="false">IF(A53="","",MAX(E53-F53,0))</f>
        <v/>
      </c>
      <c r="P53" s="28" t="str">
        <f aca="false">IF(OR(A53="",I53=""),"",MAX(Settings!$B$4-I53,0))</f>
        <v/>
      </c>
      <c r="Q53" s="28" t="str">
        <f aca="false">IF(OR(A53="",J53=""),"",Settings!$B$4-J53)</f>
        <v/>
      </c>
      <c r="R53" s="29" t="str">
        <f aca="false">IF(A53="","",IF(OR(K53="Received",AND(E53&lt;&gt;"",O53=0)),"Closed",IF(AND(I53&lt;&gt;"",Settings!$B$4&gt;I53),"Late",IF(AND(H53&lt;&gt;"",Settings!$B$4&gt;H53,K53&lt;&gt;"Shipped"),"Ship overdue",IF(OR(K53="Delayed",AND(I53&lt;&gt;"",I53-Settings!$B$4&lt;=Settings!$B$5,K53&lt;&gt;"Shipped")),"At risk",IF(AND(Q53&lt;&gt;"",Q53&gt;Settings!$B$6),"Stale","On track"))))))</f>
        <v/>
      </c>
      <c r="S53" s="29" t="str">
        <f aca="false">IF(R53="","",IF(R53="Late","Ask for a new ETA and tracking number",IF(R53="Ship overdue","Ask why it hasn't shipped; get a firm ship date",IF(R53="At risk","Confirm the ship date this week",IF(R53="Stale","Request a status update",IF(R53="Closed","-","No action needed"))))))</f>
        <v/>
      </c>
      <c r="T53" s="30" t="str">
        <f aca="false">IF(OR(A53="",N53="",M53=""),"",IF(N53=0,"",M53/N53))</f>
        <v/>
      </c>
      <c r="U53" s="29" t="str">
        <f aca="false">IF(OR(T53="",I53="",R53="Closed"),"",IF(R53="Late","ETA passed: "&amp;ROUND(T53,0)&amp;" days of stock left",IF(Settings!$B$4+T53&lt;I53,"YES: "&amp;ROUND(I53-(Settings!$B$4+T53),0)&amp;" days short","No")))</f>
        <v/>
      </c>
      <c r="V53" s="31" t="str">
        <f aca="false">IF(R53="","",IF(OR(R53="Late",R53="Ship overdue",R53="Stale"),Settings!$B$4,IF(R53="At risk",Settings!$B$4+2,"")))</f>
        <v/>
      </c>
    </row>
    <row r="54" customFormat="false" ht="15" hidden="false" customHeight="false" outlineLevel="0" collapsed="false">
      <c r="A54" s="32"/>
      <c r="B54" s="32"/>
      <c r="C54" s="32"/>
      <c r="D54" s="32"/>
      <c r="E54" s="33"/>
      <c r="F54" s="33"/>
      <c r="G54" s="34"/>
      <c r="H54" s="34"/>
      <c r="I54" s="34"/>
      <c r="J54" s="34"/>
      <c r="K54" s="32"/>
      <c r="L54" s="35"/>
      <c r="M54" s="33"/>
      <c r="N54" s="33"/>
      <c r="O54" s="27" t="str">
        <f aca="false">IF(A54="","",MAX(E54-F54,0))</f>
        <v/>
      </c>
      <c r="P54" s="28" t="str">
        <f aca="false">IF(OR(A54="",I54=""),"",MAX(Settings!$B$4-I54,0))</f>
        <v/>
      </c>
      <c r="Q54" s="28" t="str">
        <f aca="false">IF(OR(A54="",J54=""),"",Settings!$B$4-J54)</f>
        <v/>
      </c>
      <c r="R54" s="29" t="str">
        <f aca="false">IF(A54="","",IF(OR(K54="Received",AND(E54&lt;&gt;"",O54=0)),"Closed",IF(AND(I54&lt;&gt;"",Settings!$B$4&gt;I54),"Late",IF(AND(H54&lt;&gt;"",Settings!$B$4&gt;H54,K54&lt;&gt;"Shipped"),"Ship overdue",IF(OR(K54="Delayed",AND(I54&lt;&gt;"",I54-Settings!$B$4&lt;=Settings!$B$5,K54&lt;&gt;"Shipped")),"At risk",IF(AND(Q54&lt;&gt;"",Q54&gt;Settings!$B$6),"Stale","On track"))))))</f>
        <v/>
      </c>
      <c r="S54" s="29" t="str">
        <f aca="false">IF(R54="","",IF(R54="Late","Ask for a new ETA and tracking number",IF(R54="Ship overdue","Ask why it hasn't shipped; get a firm ship date",IF(R54="At risk","Confirm the ship date this week",IF(R54="Stale","Request a status update",IF(R54="Closed","-","No action needed"))))))</f>
        <v/>
      </c>
      <c r="T54" s="30" t="str">
        <f aca="false">IF(OR(A54="",N54="",M54=""),"",IF(N54=0,"",M54/N54))</f>
        <v/>
      </c>
      <c r="U54" s="29" t="str">
        <f aca="false">IF(OR(T54="",I54="",R54="Closed"),"",IF(R54="Late","ETA passed: "&amp;ROUND(T54,0)&amp;" days of stock left",IF(Settings!$B$4+T54&lt;I54,"YES: "&amp;ROUND(I54-(Settings!$B$4+T54),0)&amp;" days short","No")))</f>
        <v/>
      </c>
      <c r="V54" s="31" t="str">
        <f aca="false">IF(R54="","",IF(OR(R54="Late",R54="Ship overdue",R54="Stale"),Settings!$B$4,IF(R54="At risk",Settings!$B$4+2,"")))</f>
        <v/>
      </c>
    </row>
    <row r="55" customFormat="false" ht="15" hidden="false" customHeight="false" outlineLevel="0" collapsed="false">
      <c r="A55" s="32"/>
      <c r="B55" s="32"/>
      <c r="C55" s="32"/>
      <c r="D55" s="32"/>
      <c r="E55" s="33"/>
      <c r="F55" s="33"/>
      <c r="G55" s="34"/>
      <c r="H55" s="34"/>
      <c r="I55" s="34"/>
      <c r="J55" s="34"/>
      <c r="K55" s="32"/>
      <c r="L55" s="35"/>
      <c r="M55" s="33"/>
      <c r="N55" s="33"/>
      <c r="O55" s="27" t="str">
        <f aca="false">IF(A55="","",MAX(E55-F55,0))</f>
        <v/>
      </c>
      <c r="P55" s="28" t="str">
        <f aca="false">IF(OR(A55="",I55=""),"",MAX(Settings!$B$4-I55,0))</f>
        <v/>
      </c>
      <c r="Q55" s="28" t="str">
        <f aca="false">IF(OR(A55="",J55=""),"",Settings!$B$4-J55)</f>
        <v/>
      </c>
      <c r="R55" s="29" t="str">
        <f aca="false">IF(A55="","",IF(OR(K55="Received",AND(E55&lt;&gt;"",O55=0)),"Closed",IF(AND(I55&lt;&gt;"",Settings!$B$4&gt;I55),"Late",IF(AND(H55&lt;&gt;"",Settings!$B$4&gt;H55,K55&lt;&gt;"Shipped"),"Ship overdue",IF(OR(K55="Delayed",AND(I55&lt;&gt;"",I55-Settings!$B$4&lt;=Settings!$B$5,K55&lt;&gt;"Shipped")),"At risk",IF(AND(Q55&lt;&gt;"",Q55&gt;Settings!$B$6),"Stale","On track"))))))</f>
        <v/>
      </c>
      <c r="S55" s="29" t="str">
        <f aca="false">IF(R55="","",IF(R55="Late","Ask for a new ETA and tracking number",IF(R55="Ship overdue","Ask why it hasn't shipped; get a firm ship date",IF(R55="At risk","Confirm the ship date this week",IF(R55="Stale","Request a status update",IF(R55="Closed","-","No action needed"))))))</f>
        <v/>
      </c>
      <c r="T55" s="30" t="str">
        <f aca="false">IF(OR(A55="",N55="",M55=""),"",IF(N55=0,"",M55/N55))</f>
        <v/>
      </c>
      <c r="U55" s="29" t="str">
        <f aca="false">IF(OR(T55="",I55="",R55="Closed"),"",IF(R55="Late","ETA passed: "&amp;ROUND(T55,0)&amp;" days of stock left",IF(Settings!$B$4+T55&lt;I55,"YES: "&amp;ROUND(I55-(Settings!$B$4+T55),0)&amp;" days short","No")))</f>
        <v/>
      </c>
      <c r="V55" s="31" t="str">
        <f aca="false">IF(R55="","",IF(OR(R55="Late",R55="Ship overdue",R55="Stale"),Settings!$B$4,IF(R55="At risk",Settings!$B$4+2,"")))</f>
        <v/>
      </c>
    </row>
    <row r="56" customFormat="false" ht="15" hidden="false" customHeight="false" outlineLevel="0" collapsed="false">
      <c r="A56" s="32"/>
      <c r="B56" s="32"/>
      <c r="C56" s="32"/>
      <c r="D56" s="32"/>
      <c r="E56" s="33"/>
      <c r="F56" s="33"/>
      <c r="G56" s="34"/>
      <c r="H56" s="34"/>
      <c r="I56" s="34"/>
      <c r="J56" s="34"/>
      <c r="K56" s="32"/>
      <c r="L56" s="35"/>
      <c r="M56" s="33"/>
      <c r="N56" s="33"/>
      <c r="O56" s="27" t="str">
        <f aca="false">IF(A56="","",MAX(E56-F56,0))</f>
        <v/>
      </c>
      <c r="P56" s="28" t="str">
        <f aca="false">IF(OR(A56="",I56=""),"",MAX(Settings!$B$4-I56,0))</f>
        <v/>
      </c>
      <c r="Q56" s="28" t="str">
        <f aca="false">IF(OR(A56="",J56=""),"",Settings!$B$4-J56)</f>
        <v/>
      </c>
      <c r="R56" s="29" t="str">
        <f aca="false">IF(A56="","",IF(OR(K56="Received",AND(E56&lt;&gt;"",O56=0)),"Closed",IF(AND(I56&lt;&gt;"",Settings!$B$4&gt;I56),"Late",IF(AND(H56&lt;&gt;"",Settings!$B$4&gt;H56,K56&lt;&gt;"Shipped"),"Ship overdue",IF(OR(K56="Delayed",AND(I56&lt;&gt;"",I56-Settings!$B$4&lt;=Settings!$B$5,K56&lt;&gt;"Shipped")),"At risk",IF(AND(Q56&lt;&gt;"",Q56&gt;Settings!$B$6),"Stale","On track"))))))</f>
        <v/>
      </c>
      <c r="S56" s="29" t="str">
        <f aca="false">IF(R56="","",IF(R56="Late","Ask for a new ETA and tracking number",IF(R56="Ship overdue","Ask why it hasn't shipped; get a firm ship date",IF(R56="At risk","Confirm the ship date this week",IF(R56="Stale","Request a status update",IF(R56="Closed","-","No action needed"))))))</f>
        <v/>
      </c>
      <c r="T56" s="30" t="str">
        <f aca="false">IF(OR(A56="",N56="",M56=""),"",IF(N56=0,"",M56/N56))</f>
        <v/>
      </c>
      <c r="U56" s="29" t="str">
        <f aca="false">IF(OR(T56="",I56="",R56="Closed"),"",IF(R56="Late","ETA passed: "&amp;ROUND(T56,0)&amp;" days of stock left",IF(Settings!$B$4+T56&lt;I56,"YES: "&amp;ROUND(I56-(Settings!$B$4+T56),0)&amp;" days short","No")))</f>
        <v/>
      </c>
      <c r="V56" s="31" t="str">
        <f aca="false">IF(R56="","",IF(OR(R56="Late",R56="Ship overdue",R56="Stale"),Settings!$B$4,IF(R56="At risk",Settings!$B$4+2,"")))</f>
        <v/>
      </c>
    </row>
    <row r="57" customFormat="false" ht="15" hidden="false" customHeight="false" outlineLevel="0" collapsed="false">
      <c r="A57" s="32"/>
      <c r="B57" s="32"/>
      <c r="C57" s="32"/>
      <c r="D57" s="32"/>
      <c r="E57" s="33"/>
      <c r="F57" s="33"/>
      <c r="G57" s="34"/>
      <c r="H57" s="34"/>
      <c r="I57" s="34"/>
      <c r="J57" s="34"/>
      <c r="K57" s="32"/>
      <c r="L57" s="35"/>
      <c r="M57" s="33"/>
      <c r="N57" s="33"/>
      <c r="O57" s="27" t="str">
        <f aca="false">IF(A57="","",MAX(E57-F57,0))</f>
        <v/>
      </c>
      <c r="P57" s="28" t="str">
        <f aca="false">IF(OR(A57="",I57=""),"",MAX(Settings!$B$4-I57,0))</f>
        <v/>
      </c>
      <c r="Q57" s="28" t="str">
        <f aca="false">IF(OR(A57="",J57=""),"",Settings!$B$4-J57)</f>
        <v/>
      </c>
      <c r="R57" s="29" t="str">
        <f aca="false">IF(A57="","",IF(OR(K57="Received",AND(E57&lt;&gt;"",O57=0)),"Closed",IF(AND(I57&lt;&gt;"",Settings!$B$4&gt;I57),"Late",IF(AND(H57&lt;&gt;"",Settings!$B$4&gt;H57,K57&lt;&gt;"Shipped"),"Ship overdue",IF(OR(K57="Delayed",AND(I57&lt;&gt;"",I57-Settings!$B$4&lt;=Settings!$B$5,K57&lt;&gt;"Shipped")),"At risk",IF(AND(Q57&lt;&gt;"",Q57&gt;Settings!$B$6),"Stale","On track"))))))</f>
        <v/>
      </c>
      <c r="S57" s="29" t="str">
        <f aca="false">IF(R57="","",IF(R57="Late","Ask for a new ETA and tracking number",IF(R57="Ship overdue","Ask why it hasn't shipped; get a firm ship date",IF(R57="At risk","Confirm the ship date this week",IF(R57="Stale","Request a status update",IF(R57="Closed","-","No action needed"))))))</f>
        <v/>
      </c>
      <c r="T57" s="30" t="str">
        <f aca="false">IF(OR(A57="",N57="",M57=""),"",IF(N57=0,"",M57/N57))</f>
        <v/>
      </c>
      <c r="U57" s="29" t="str">
        <f aca="false">IF(OR(T57="",I57="",R57="Closed"),"",IF(R57="Late","ETA passed: "&amp;ROUND(T57,0)&amp;" days of stock left",IF(Settings!$B$4+T57&lt;I57,"YES: "&amp;ROUND(I57-(Settings!$B$4+T57),0)&amp;" days short","No")))</f>
        <v/>
      </c>
      <c r="V57" s="31" t="str">
        <f aca="false">IF(R57="","",IF(OR(R57="Late",R57="Ship overdue",R57="Stale"),Settings!$B$4,IF(R57="At risk",Settings!$B$4+2,"")))</f>
        <v/>
      </c>
    </row>
    <row r="58" customFormat="false" ht="15" hidden="false" customHeight="false" outlineLevel="0" collapsed="false">
      <c r="A58" s="32"/>
      <c r="B58" s="32"/>
      <c r="C58" s="32"/>
      <c r="D58" s="32"/>
      <c r="E58" s="33"/>
      <c r="F58" s="33"/>
      <c r="G58" s="34"/>
      <c r="H58" s="34"/>
      <c r="I58" s="34"/>
      <c r="J58" s="34"/>
      <c r="K58" s="32"/>
      <c r="L58" s="35"/>
      <c r="M58" s="33"/>
      <c r="N58" s="33"/>
      <c r="O58" s="27" t="str">
        <f aca="false">IF(A58="","",MAX(E58-F58,0))</f>
        <v/>
      </c>
      <c r="P58" s="28" t="str">
        <f aca="false">IF(OR(A58="",I58=""),"",MAX(Settings!$B$4-I58,0))</f>
        <v/>
      </c>
      <c r="Q58" s="28" t="str">
        <f aca="false">IF(OR(A58="",J58=""),"",Settings!$B$4-J58)</f>
        <v/>
      </c>
      <c r="R58" s="29" t="str">
        <f aca="false">IF(A58="","",IF(OR(K58="Received",AND(E58&lt;&gt;"",O58=0)),"Closed",IF(AND(I58&lt;&gt;"",Settings!$B$4&gt;I58),"Late",IF(AND(H58&lt;&gt;"",Settings!$B$4&gt;H58,K58&lt;&gt;"Shipped"),"Ship overdue",IF(OR(K58="Delayed",AND(I58&lt;&gt;"",I58-Settings!$B$4&lt;=Settings!$B$5,K58&lt;&gt;"Shipped")),"At risk",IF(AND(Q58&lt;&gt;"",Q58&gt;Settings!$B$6),"Stale","On track"))))))</f>
        <v/>
      </c>
      <c r="S58" s="29" t="str">
        <f aca="false">IF(R58="","",IF(R58="Late","Ask for a new ETA and tracking number",IF(R58="Ship overdue","Ask why it hasn't shipped; get a firm ship date",IF(R58="At risk","Confirm the ship date this week",IF(R58="Stale","Request a status update",IF(R58="Closed","-","No action needed"))))))</f>
        <v/>
      </c>
      <c r="T58" s="30" t="str">
        <f aca="false">IF(OR(A58="",N58="",M58=""),"",IF(N58=0,"",M58/N58))</f>
        <v/>
      </c>
      <c r="U58" s="29" t="str">
        <f aca="false">IF(OR(T58="",I58="",R58="Closed"),"",IF(R58="Late","ETA passed: "&amp;ROUND(T58,0)&amp;" days of stock left",IF(Settings!$B$4+T58&lt;I58,"YES: "&amp;ROUND(I58-(Settings!$B$4+T58),0)&amp;" days short","No")))</f>
        <v/>
      </c>
      <c r="V58" s="31" t="str">
        <f aca="false">IF(R58="","",IF(OR(R58="Late",R58="Ship overdue",R58="Stale"),Settings!$B$4,IF(R58="At risk",Settings!$B$4+2,"")))</f>
        <v/>
      </c>
    </row>
    <row r="59" customFormat="false" ht="15" hidden="false" customHeight="false" outlineLevel="0" collapsed="false">
      <c r="A59" s="32"/>
      <c r="B59" s="32"/>
      <c r="C59" s="32"/>
      <c r="D59" s="32"/>
      <c r="E59" s="33"/>
      <c r="F59" s="33"/>
      <c r="G59" s="34"/>
      <c r="H59" s="34"/>
      <c r="I59" s="34"/>
      <c r="J59" s="34"/>
      <c r="K59" s="32"/>
      <c r="L59" s="35"/>
      <c r="M59" s="33"/>
      <c r="N59" s="33"/>
      <c r="O59" s="27" t="str">
        <f aca="false">IF(A59="","",MAX(E59-F59,0))</f>
        <v/>
      </c>
      <c r="P59" s="28" t="str">
        <f aca="false">IF(OR(A59="",I59=""),"",MAX(Settings!$B$4-I59,0))</f>
        <v/>
      </c>
      <c r="Q59" s="28" t="str">
        <f aca="false">IF(OR(A59="",J59=""),"",Settings!$B$4-J59)</f>
        <v/>
      </c>
      <c r="R59" s="29" t="str">
        <f aca="false">IF(A59="","",IF(OR(K59="Received",AND(E59&lt;&gt;"",O59=0)),"Closed",IF(AND(I59&lt;&gt;"",Settings!$B$4&gt;I59),"Late",IF(AND(H59&lt;&gt;"",Settings!$B$4&gt;H59,K59&lt;&gt;"Shipped"),"Ship overdue",IF(OR(K59="Delayed",AND(I59&lt;&gt;"",I59-Settings!$B$4&lt;=Settings!$B$5,K59&lt;&gt;"Shipped")),"At risk",IF(AND(Q59&lt;&gt;"",Q59&gt;Settings!$B$6),"Stale","On track"))))))</f>
        <v/>
      </c>
      <c r="S59" s="29" t="str">
        <f aca="false">IF(R59="","",IF(R59="Late","Ask for a new ETA and tracking number",IF(R59="Ship overdue","Ask why it hasn't shipped; get a firm ship date",IF(R59="At risk","Confirm the ship date this week",IF(R59="Stale","Request a status update",IF(R59="Closed","-","No action needed"))))))</f>
        <v/>
      </c>
      <c r="T59" s="30" t="str">
        <f aca="false">IF(OR(A59="",N59="",M59=""),"",IF(N59=0,"",M59/N59))</f>
        <v/>
      </c>
      <c r="U59" s="29" t="str">
        <f aca="false">IF(OR(T59="",I59="",R59="Closed"),"",IF(R59="Late","ETA passed: "&amp;ROUND(T59,0)&amp;" days of stock left",IF(Settings!$B$4+T59&lt;I59,"YES: "&amp;ROUND(I59-(Settings!$B$4+T59),0)&amp;" days short","No")))</f>
        <v/>
      </c>
      <c r="V59" s="31" t="str">
        <f aca="false">IF(R59="","",IF(OR(R59="Late",R59="Ship overdue",R59="Stale"),Settings!$B$4,IF(R59="At risk",Settings!$B$4+2,"")))</f>
        <v/>
      </c>
    </row>
    <row r="60" customFormat="false" ht="15" hidden="false" customHeight="false" outlineLevel="0" collapsed="false">
      <c r="A60" s="32"/>
      <c r="B60" s="32"/>
      <c r="C60" s="32"/>
      <c r="D60" s="32"/>
      <c r="E60" s="33"/>
      <c r="F60" s="33"/>
      <c r="G60" s="34"/>
      <c r="H60" s="34"/>
      <c r="I60" s="34"/>
      <c r="J60" s="34"/>
      <c r="K60" s="32"/>
      <c r="L60" s="35"/>
      <c r="M60" s="33"/>
      <c r="N60" s="33"/>
      <c r="O60" s="27" t="str">
        <f aca="false">IF(A60="","",MAX(E60-F60,0))</f>
        <v/>
      </c>
      <c r="P60" s="28" t="str">
        <f aca="false">IF(OR(A60="",I60=""),"",MAX(Settings!$B$4-I60,0))</f>
        <v/>
      </c>
      <c r="Q60" s="28" t="str">
        <f aca="false">IF(OR(A60="",J60=""),"",Settings!$B$4-J60)</f>
        <v/>
      </c>
      <c r="R60" s="29" t="str">
        <f aca="false">IF(A60="","",IF(OR(K60="Received",AND(E60&lt;&gt;"",O60=0)),"Closed",IF(AND(I60&lt;&gt;"",Settings!$B$4&gt;I60),"Late",IF(AND(H60&lt;&gt;"",Settings!$B$4&gt;H60,K60&lt;&gt;"Shipped"),"Ship overdue",IF(OR(K60="Delayed",AND(I60&lt;&gt;"",I60-Settings!$B$4&lt;=Settings!$B$5,K60&lt;&gt;"Shipped")),"At risk",IF(AND(Q60&lt;&gt;"",Q60&gt;Settings!$B$6),"Stale","On track"))))))</f>
        <v/>
      </c>
      <c r="S60" s="29" t="str">
        <f aca="false">IF(R60="","",IF(R60="Late","Ask for a new ETA and tracking number",IF(R60="Ship overdue","Ask why it hasn't shipped; get a firm ship date",IF(R60="At risk","Confirm the ship date this week",IF(R60="Stale","Request a status update",IF(R60="Closed","-","No action needed"))))))</f>
        <v/>
      </c>
      <c r="T60" s="30" t="str">
        <f aca="false">IF(OR(A60="",N60="",M60=""),"",IF(N60=0,"",M60/N60))</f>
        <v/>
      </c>
      <c r="U60" s="29" t="str">
        <f aca="false">IF(OR(T60="",I60="",R60="Closed"),"",IF(R60="Late","ETA passed: "&amp;ROUND(T60,0)&amp;" days of stock left",IF(Settings!$B$4+T60&lt;I60,"YES: "&amp;ROUND(I60-(Settings!$B$4+T60),0)&amp;" days short","No")))</f>
        <v/>
      </c>
      <c r="V60" s="31" t="str">
        <f aca="false">IF(R60="","",IF(OR(R60="Late",R60="Ship overdue",R60="Stale"),Settings!$B$4,IF(R60="At risk",Settings!$B$4+2,"")))</f>
        <v/>
      </c>
    </row>
    <row r="61" customFormat="false" ht="15" hidden="false" customHeight="false" outlineLevel="0" collapsed="false">
      <c r="A61" s="32"/>
      <c r="B61" s="32"/>
      <c r="C61" s="32"/>
      <c r="D61" s="32"/>
      <c r="E61" s="33"/>
      <c r="F61" s="33"/>
      <c r="G61" s="34"/>
      <c r="H61" s="34"/>
      <c r="I61" s="34"/>
      <c r="J61" s="34"/>
      <c r="K61" s="32"/>
      <c r="L61" s="35"/>
      <c r="M61" s="33"/>
      <c r="N61" s="33"/>
      <c r="O61" s="27" t="str">
        <f aca="false">IF(A61="","",MAX(E61-F61,0))</f>
        <v/>
      </c>
      <c r="P61" s="28" t="str">
        <f aca="false">IF(OR(A61="",I61=""),"",MAX(Settings!$B$4-I61,0))</f>
        <v/>
      </c>
      <c r="Q61" s="28" t="str">
        <f aca="false">IF(OR(A61="",J61=""),"",Settings!$B$4-J61)</f>
        <v/>
      </c>
      <c r="R61" s="29" t="str">
        <f aca="false">IF(A61="","",IF(OR(K61="Received",AND(E61&lt;&gt;"",O61=0)),"Closed",IF(AND(I61&lt;&gt;"",Settings!$B$4&gt;I61),"Late",IF(AND(H61&lt;&gt;"",Settings!$B$4&gt;H61,K61&lt;&gt;"Shipped"),"Ship overdue",IF(OR(K61="Delayed",AND(I61&lt;&gt;"",I61-Settings!$B$4&lt;=Settings!$B$5,K61&lt;&gt;"Shipped")),"At risk",IF(AND(Q61&lt;&gt;"",Q61&gt;Settings!$B$6),"Stale","On track"))))))</f>
        <v/>
      </c>
      <c r="S61" s="29" t="str">
        <f aca="false">IF(R61="","",IF(R61="Late","Ask for a new ETA and tracking number",IF(R61="Ship overdue","Ask why it hasn't shipped; get a firm ship date",IF(R61="At risk","Confirm the ship date this week",IF(R61="Stale","Request a status update",IF(R61="Closed","-","No action needed"))))))</f>
        <v/>
      </c>
      <c r="T61" s="30" t="str">
        <f aca="false">IF(OR(A61="",N61="",M61=""),"",IF(N61=0,"",M61/N61))</f>
        <v/>
      </c>
      <c r="U61" s="29" t="str">
        <f aca="false">IF(OR(T61="",I61="",R61="Closed"),"",IF(R61="Late","ETA passed: "&amp;ROUND(T61,0)&amp;" days of stock left",IF(Settings!$B$4+T61&lt;I61,"YES: "&amp;ROUND(I61-(Settings!$B$4+T61),0)&amp;" days short","No")))</f>
        <v/>
      </c>
      <c r="V61" s="31" t="str">
        <f aca="false">IF(R61="","",IF(OR(R61="Late",R61="Ship overdue",R61="Stale"),Settings!$B$4,IF(R61="At risk",Settings!$B$4+2,"")))</f>
        <v/>
      </c>
    </row>
    <row r="62" customFormat="false" ht="15" hidden="false" customHeight="false" outlineLevel="0" collapsed="false">
      <c r="A62" s="32"/>
      <c r="B62" s="32"/>
      <c r="C62" s="32"/>
      <c r="D62" s="32"/>
      <c r="E62" s="33"/>
      <c r="F62" s="33"/>
      <c r="G62" s="34"/>
      <c r="H62" s="34"/>
      <c r="I62" s="34"/>
      <c r="J62" s="34"/>
      <c r="K62" s="32"/>
      <c r="L62" s="35"/>
      <c r="M62" s="33"/>
      <c r="N62" s="33"/>
      <c r="O62" s="27" t="str">
        <f aca="false">IF(A62="","",MAX(E62-F62,0))</f>
        <v/>
      </c>
      <c r="P62" s="28" t="str">
        <f aca="false">IF(OR(A62="",I62=""),"",MAX(Settings!$B$4-I62,0))</f>
        <v/>
      </c>
      <c r="Q62" s="28" t="str">
        <f aca="false">IF(OR(A62="",J62=""),"",Settings!$B$4-J62)</f>
        <v/>
      </c>
      <c r="R62" s="29" t="str">
        <f aca="false">IF(A62="","",IF(OR(K62="Received",AND(E62&lt;&gt;"",O62=0)),"Closed",IF(AND(I62&lt;&gt;"",Settings!$B$4&gt;I62),"Late",IF(AND(H62&lt;&gt;"",Settings!$B$4&gt;H62,K62&lt;&gt;"Shipped"),"Ship overdue",IF(OR(K62="Delayed",AND(I62&lt;&gt;"",I62-Settings!$B$4&lt;=Settings!$B$5,K62&lt;&gt;"Shipped")),"At risk",IF(AND(Q62&lt;&gt;"",Q62&gt;Settings!$B$6),"Stale","On track"))))))</f>
        <v/>
      </c>
      <c r="S62" s="29" t="str">
        <f aca="false">IF(R62="","",IF(R62="Late","Ask for a new ETA and tracking number",IF(R62="Ship overdue","Ask why it hasn't shipped; get a firm ship date",IF(R62="At risk","Confirm the ship date this week",IF(R62="Stale","Request a status update",IF(R62="Closed","-","No action needed"))))))</f>
        <v/>
      </c>
      <c r="T62" s="30" t="str">
        <f aca="false">IF(OR(A62="",N62="",M62=""),"",IF(N62=0,"",M62/N62))</f>
        <v/>
      </c>
      <c r="U62" s="29" t="str">
        <f aca="false">IF(OR(T62="",I62="",R62="Closed"),"",IF(R62="Late","ETA passed: "&amp;ROUND(T62,0)&amp;" days of stock left",IF(Settings!$B$4+T62&lt;I62,"YES: "&amp;ROUND(I62-(Settings!$B$4+T62),0)&amp;" days short","No")))</f>
        <v/>
      </c>
      <c r="V62" s="31" t="str">
        <f aca="false">IF(R62="","",IF(OR(R62="Late",R62="Ship overdue",R62="Stale"),Settings!$B$4,IF(R62="At risk",Settings!$B$4+2,"")))</f>
        <v/>
      </c>
    </row>
    <row r="63" customFormat="false" ht="15" hidden="false" customHeight="false" outlineLevel="0" collapsed="false">
      <c r="A63" s="32"/>
      <c r="B63" s="32"/>
      <c r="C63" s="32"/>
      <c r="D63" s="32"/>
      <c r="E63" s="33"/>
      <c r="F63" s="33"/>
      <c r="G63" s="34"/>
      <c r="H63" s="34"/>
      <c r="I63" s="34"/>
      <c r="J63" s="34"/>
      <c r="K63" s="32"/>
      <c r="L63" s="35"/>
      <c r="M63" s="33"/>
      <c r="N63" s="33"/>
      <c r="O63" s="27" t="str">
        <f aca="false">IF(A63="","",MAX(E63-F63,0))</f>
        <v/>
      </c>
      <c r="P63" s="28" t="str">
        <f aca="false">IF(OR(A63="",I63=""),"",MAX(Settings!$B$4-I63,0))</f>
        <v/>
      </c>
      <c r="Q63" s="28" t="str">
        <f aca="false">IF(OR(A63="",J63=""),"",Settings!$B$4-J63)</f>
        <v/>
      </c>
      <c r="R63" s="29" t="str">
        <f aca="false">IF(A63="","",IF(OR(K63="Received",AND(E63&lt;&gt;"",O63=0)),"Closed",IF(AND(I63&lt;&gt;"",Settings!$B$4&gt;I63),"Late",IF(AND(H63&lt;&gt;"",Settings!$B$4&gt;H63,K63&lt;&gt;"Shipped"),"Ship overdue",IF(OR(K63="Delayed",AND(I63&lt;&gt;"",I63-Settings!$B$4&lt;=Settings!$B$5,K63&lt;&gt;"Shipped")),"At risk",IF(AND(Q63&lt;&gt;"",Q63&gt;Settings!$B$6),"Stale","On track"))))))</f>
        <v/>
      </c>
      <c r="S63" s="29" t="str">
        <f aca="false">IF(R63="","",IF(R63="Late","Ask for a new ETA and tracking number",IF(R63="Ship overdue","Ask why it hasn't shipped; get a firm ship date",IF(R63="At risk","Confirm the ship date this week",IF(R63="Stale","Request a status update",IF(R63="Closed","-","No action needed"))))))</f>
        <v/>
      </c>
      <c r="T63" s="30" t="str">
        <f aca="false">IF(OR(A63="",N63="",M63=""),"",IF(N63=0,"",M63/N63))</f>
        <v/>
      </c>
      <c r="U63" s="29" t="str">
        <f aca="false">IF(OR(T63="",I63="",R63="Closed"),"",IF(R63="Late","ETA passed: "&amp;ROUND(T63,0)&amp;" days of stock left",IF(Settings!$B$4+T63&lt;I63,"YES: "&amp;ROUND(I63-(Settings!$B$4+T63),0)&amp;" days short","No")))</f>
        <v/>
      </c>
      <c r="V63" s="31" t="str">
        <f aca="false">IF(R63="","",IF(OR(R63="Late",R63="Ship overdue",R63="Stale"),Settings!$B$4,IF(R63="At risk",Settings!$B$4+2,"")))</f>
        <v/>
      </c>
    </row>
    <row r="64" customFormat="false" ht="15" hidden="false" customHeight="false" outlineLevel="0" collapsed="false">
      <c r="A64" s="32"/>
      <c r="B64" s="32"/>
      <c r="C64" s="32"/>
      <c r="D64" s="32"/>
      <c r="E64" s="33"/>
      <c r="F64" s="33"/>
      <c r="G64" s="34"/>
      <c r="H64" s="34"/>
      <c r="I64" s="34"/>
      <c r="J64" s="34"/>
      <c r="K64" s="32"/>
      <c r="L64" s="35"/>
      <c r="M64" s="33"/>
      <c r="N64" s="33"/>
      <c r="O64" s="27" t="str">
        <f aca="false">IF(A64="","",MAX(E64-F64,0))</f>
        <v/>
      </c>
      <c r="P64" s="28" t="str">
        <f aca="false">IF(OR(A64="",I64=""),"",MAX(Settings!$B$4-I64,0))</f>
        <v/>
      </c>
      <c r="Q64" s="28" t="str">
        <f aca="false">IF(OR(A64="",J64=""),"",Settings!$B$4-J64)</f>
        <v/>
      </c>
      <c r="R64" s="29" t="str">
        <f aca="false">IF(A64="","",IF(OR(K64="Received",AND(E64&lt;&gt;"",O64=0)),"Closed",IF(AND(I64&lt;&gt;"",Settings!$B$4&gt;I64),"Late",IF(AND(H64&lt;&gt;"",Settings!$B$4&gt;H64,K64&lt;&gt;"Shipped"),"Ship overdue",IF(OR(K64="Delayed",AND(I64&lt;&gt;"",I64-Settings!$B$4&lt;=Settings!$B$5,K64&lt;&gt;"Shipped")),"At risk",IF(AND(Q64&lt;&gt;"",Q64&gt;Settings!$B$6),"Stale","On track"))))))</f>
        <v/>
      </c>
      <c r="S64" s="29" t="str">
        <f aca="false">IF(R64="","",IF(R64="Late","Ask for a new ETA and tracking number",IF(R64="Ship overdue","Ask why it hasn't shipped; get a firm ship date",IF(R64="At risk","Confirm the ship date this week",IF(R64="Stale","Request a status update",IF(R64="Closed","-","No action needed"))))))</f>
        <v/>
      </c>
      <c r="T64" s="30" t="str">
        <f aca="false">IF(OR(A64="",N64="",M64=""),"",IF(N64=0,"",M64/N64))</f>
        <v/>
      </c>
      <c r="U64" s="29" t="str">
        <f aca="false">IF(OR(T64="",I64="",R64="Closed"),"",IF(R64="Late","ETA passed: "&amp;ROUND(T64,0)&amp;" days of stock left",IF(Settings!$B$4+T64&lt;I64,"YES: "&amp;ROUND(I64-(Settings!$B$4+T64),0)&amp;" days short","No")))</f>
        <v/>
      </c>
      <c r="V64" s="31" t="str">
        <f aca="false">IF(R64="","",IF(OR(R64="Late",R64="Ship overdue",R64="Stale"),Settings!$B$4,IF(R64="At risk",Settings!$B$4+2,"")))</f>
        <v/>
      </c>
    </row>
    <row r="65" customFormat="false" ht="15" hidden="false" customHeight="false" outlineLevel="0" collapsed="false">
      <c r="A65" s="32"/>
      <c r="B65" s="32"/>
      <c r="C65" s="32"/>
      <c r="D65" s="32"/>
      <c r="E65" s="33"/>
      <c r="F65" s="33"/>
      <c r="G65" s="34"/>
      <c r="H65" s="34"/>
      <c r="I65" s="34"/>
      <c r="J65" s="34"/>
      <c r="K65" s="32"/>
      <c r="L65" s="35"/>
      <c r="M65" s="33"/>
      <c r="N65" s="33"/>
      <c r="O65" s="27" t="str">
        <f aca="false">IF(A65="","",MAX(E65-F65,0))</f>
        <v/>
      </c>
      <c r="P65" s="28" t="str">
        <f aca="false">IF(OR(A65="",I65=""),"",MAX(Settings!$B$4-I65,0))</f>
        <v/>
      </c>
      <c r="Q65" s="28" t="str">
        <f aca="false">IF(OR(A65="",J65=""),"",Settings!$B$4-J65)</f>
        <v/>
      </c>
      <c r="R65" s="29" t="str">
        <f aca="false">IF(A65="","",IF(OR(K65="Received",AND(E65&lt;&gt;"",O65=0)),"Closed",IF(AND(I65&lt;&gt;"",Settings!$B$4&gt;I65),"Late",IF(AND(H65&lt;&gt;"",Settings!$B$4&gt;H65,K65&lt;&gt;"Shipped"),"Ship overdue",IF(OR(K65="Delayed",AND(I65&lt;&gt;"",I65-Settings!$B$4&lt;=Settings!$B$5,K65&lt;&gt;"Shipped")),"At risk",IF(AND(Q65&lt;&gt;"",Q65&gt;Settings!$B$6),"Stale","On track"))))))</f>
        <v/>
      </c>
      <c r="S65" s="29" t="str">
        <f aca="false">IF(R65="","",IF(R65="Late","Ask for a new ETA and tracking number",IF(R65="Ship overdue","Ask why it hasn't shipped; get a firm ship date",IF(R65="At risk","Confirm the ship date this week",IF(R65="Stale","Request a status update",IF(R65="Closed","-","No action needed"))))))</f>
        <v/>
      </c>
      <c r="T65" s="30" t="str">
        <f aca="false">IF(OR(A65="",N65="",M65=""),"",IF(N65=0,"",M65/N65))</f>
        <v/>
      </c>
      <c r="U65" s="29" t="str">
        <f aca="false">IF(OR(T65="",I65="",R65="Closed"),"",IF(R65="Late","ETA passed: "&amp;ROUND(T65,0)&amp;" days of stock left",IF(Settings!$B$4+T65&lt;I65,"YES: "&amp;ROUND(I65-(Settings!$B$4+T65),0)&amp;" days short","No")))</f>
        <v/>
      </c>
      <c r="V65" s="31" t="str">
        <f aca="false">IF(R65="","",IF(OR(R65="Late",R65="Ship overdue",R65="Stale"),Settings!$B$4,IF(R65="At risk",Settings!$B$4+2,"")))</f>
        <v/>
      </c>
    </row>
    <row r="66" customFormat="false" ht="15" hidden="false" customHeight="false" outlineLevel="0" collapsed="false">
      <c r="A66" s="32"/>
      <c r="B66" s="32"/>
      <c r="C66" s="32"/>
      <c r="D66" s="32"/>
      <c r="E66" s="33"/>
      <c r="F66" s="33"/>
      <c r="G66" s="34"/>
      <c r="H66" s="34"/>
      <c r="I66" s="34"/>
      <c r="J66" s="34"/>
      <c r="K66" s="32"/>
      <c r="L66" s="35"/>
      <c r="M66" s="33"/>
      <c r="N66" s="33"/>
      <c r="O66" s="27" t="str">
        <f aca="false">IF(A66="","",MAX(E66-F66,0))</f>
        <v/>
      </c>
      <c r="P66" s="28" t="str">
        <f aca="false">IF(OR(A66="",I66=""),"",MAX(Settings!$B$4-I66,0))</f>
        <v/>
      </c>
      <c r="Q66" s="28" t="str">
        <f aca="false">IF(OR(A66="",J66=""),"",Settings!$B$4-J66)</f>
        <v/>
      </c>
      <c r="R66" s="29" t="str">
        <f aca="false">IF(A66="","",IF(OR(K66="Received",AND(E66&lt;&gt;"",O66=0)),"Closed",IF(AND(I66&lt;&gt;"",Settings!$B$4&gt;I66),"Late",IF(AND(H66&lt;&gt;"",Settings!$B$4&gt;H66,K66&lt;&gt;"Shipped"),"Ship overdue",IF(OR(K66="Delayed",AND(I66&lt;&gt;"",I66-Settings!$B$4&lt;=Settings!$B$5,K66&lt;&gt;"Shipped")),"At risk",IF(AND(Q66&lt;&gt;"",Q66&gt;Settings!$B$6),"Stale","On track"))))))</f>
        <v/>
      </c>
      <c r="S66" s="29" t="str">
        <f aca="false">IF(R66="","",IF(R66="Late","Ask for a new ETA and tracking number",IF(R66="Ship overdue","Ask why it hasn't shipped; get a firm ship date",IF(R66="At risk","Confirm the ship date this week",IF(R66="Stale","Request a status update",IF(R66="Closed","-","No action needed"))))))</f>
        <v/>
      </c>
      <c r="T66" s="30" t="str">
        <f aca="false">IF(OR(A66="",N66="",M66=""),"",IF(N66=0,"",M66/N66))</f>
        <v/>
      </c>
      <c r="U66" s="29" t="str">
        <f aca="false">IF(OR(T66="",I66="",R66="Closed"),"",IF(R66="Late","ETA passed: "&amp;ROUND(T66,0)&amp;" days of stock left",IF(Settings!$B$4+T66&lt;I66,"YES: "&amp;ROUND(I66-(Settings!$B$4+T66),0)&amp;" days short","No")))</f>
        <v/>
      </c>
      <c r="V66" s="31" t="str">
        <f aca="false">IF(R66="","",IF(OR(R66="Late",R66="Ship overdue",R66="Stale"),Settings!$B$4,IF(R66="At risk",Settings!$B$4+2,"")))</f>
        <v/>
      </c>
    </row>
    <row r="67" customFormat="false" ht="15" hidden="false" customHeight="false" outlineLevel="0" collapsed="false">
      <c r="A67" s="32"/>
      <c r="B67" s="32"/>
      <c r="C67" s="32"/>
      <c r="D67" s="32"/>
      <c r="E67" s="33"/>
      <c r="F67" s="33"/>
      <c r="G67" s="34"/>
      <c r="H67" s="34"/>
      <c r="I67" s="34"/>
      <c r="J67" s="34"/>
      <c r="K67" s="32"/>
      <c r="L67" s="35"/>
      <c r="M67" s="33"/>
      <c r="N67" s="33"/>
      <c r="O67" s="27" t="str">
        <f aca="false">IF(A67="","",MAX(E67-F67,0))</f>
        <v/>
      </c>
      <c r="P67" s="28" t="str">
        <f aca="false">IF(OR(A67="",I67=""),"",MAX(Settings!$B$4-I67,0))</f>
        <v/>
      </c>
      <c r="Q67" s="28" t="str">
        <f aca="false">IF(OR(A67="",J67=""),"",Settings!$B$4-J67)</f>
        <v/>
      </c>
      <c r="R67" s="29" t="str">
        <f aca="false">IF(A67="","",IF(OR(K67="Received",AND(E67&lt;&gt;"",O67=0)),"Closed",IF(AND(I67&lt;&gt;"",Settings!$B$4&gt;I67),"Late",IF(AND(H67&lt;&gt;"",Settings!$B$4&gt;H67,K67&lt;&gt;"Shipped"),"Ship overdue",IF(OR(K67="Delayed",AND(I67&lt;&gt;"",I67-Settings!$B$4&lt;=Settings!$B$5,K67&lt;&gt;"Shipped")),"At risk",IF(AND(Q67&lt;&gt;"",Q67&gt;Settings!$B$6),"Stale","On track"))))))</f>
        <v/>
      </c>
      <c r="S67" s="29" t="str">
        <f aca="false">IF(R67="","",IF(R67="Late","Ask for a new ETA and tracking number",IF(R67="Ship overdue","Ask why it hasn't shipped; get a firm ship date",IF(R67="At risk","Confirm the ship date this week",IF(R67="Stale","Request a status update",IF(R67="Closed","-","No action needed"))))))</f>
        <v/>
      </c>
      <c r="T67" s="30" t="str">
        <f aca="false">IF(OR(A67="",N67="",M67=""),"",IF(N67=0,"",M67/N67))</f>
        <v/>
      </c>
      <c r="U67" s="29" t="str">
        <f aca="false">IF(OR(T67="",I67="",R67="Closed"),"",IF(R67="Late","ETA passed: "&amp;ROUND(T67,0)&amp;" days of stock left",IF(Settings!$B$4+T67&lt;I67,"YES: "&amp;ROUND(I67-(Settings!$B$4+T67),0)&amp;" days short","No")))</f>
        <v/>
      </c>
      <c r="V67" s="31" t="str">
        <f aca="false">IF(R67="","",IF(OR(R67="Late",R67="Ship overdue",R67="Stale"),Settings!$B$4,IF(R67="At risk",Settings!$B$4+2,"")))</f>
        <v/>
      </c>
    </row>
    <row r="68" customFormat="false" ht="15" hidden="false" customHeight="false" outlineLevel="0" collapsed="false">
      <c r="A68" s="32"/>
      <c r="B68" s="32"/>
      <c r="C68" s="32"/>
      <c r="D68" s="32"/>
      <c r="E68" s="33"/>
      <c r="F68" s="33"/>
      <c r="G68" s="34"/>
      <c r="H68" s="34"/>
      <c r="I68" s="34"/>
      <c r="J68" s="34"/>
      <c r="K68" s="32"/>
      <c r="L68" s="35"/>
      <c r="M68" s="33"/>
      <c r="N68" s="33"/>
      <c r="O68" s="27" t="str">
        <f aca="false">IF(A68="","",MAX(E68-F68,0))</f>
        <v/>
      </c>
      <c r="P68" s="28" t="str">
        <f aca="false">IF(OR(A68="",I68=""),"",MAX(Settings!$B$4-I68,0))</f>
        <v/>
      </c>
      <c r="Q68" s="28" t="str">
        <f aca="false">IF(OR(A68="",J68=""),"",Settings!$B$4-J68)</f>
        <v/>
      </c>
      <c r="R68" s="29" t="str">
        <f aca="false">IF(A68="","",IF(OR(K68="Received",AND(E68&lt;&gt;"",O68=0)),"Closed",IF(AND(I68&lt;&gt;"",Settings!$B$4&gt;I68),"Late",IF(AND(H68&lt;&gt;"",Settings!$B$4&gt;H68,K68&lt;&gt;"Shipped"),"Ship overdue",IF(OR(K68="Delayed",AND(I68&lt;&gt;"",I68-Settings!$B$4&lt;=Settings!$B$5,K68&lt;&gt;"Shipped")),"At risk",IF(AND(Q68&lt;&gt;"",Q68&gt;Settings!$B$6),"Stale","On track"))))))</f>
        <v/>
      </c>
      <c r="S68" s="29" t="str">
        <f aca="false">IF(R68="","",IF(R68="Late","Ask for a new ETA and tracking number",IF(R68="Ship overdue","Ask why it hasn't shipped; get a firm ship date",IF(R68="At risk","Confirm the ship date this week",IF(R68="Stale","Request a status update",IF(R68="Closed","-","No action needed"))))))</f>
        <v/>
      </c>
      <c r="T68" s="30" t="str">
        <f aca="false">IF(OR(A68="",N68="",M68=""),"",IF(N68=0,"",M68/N68))</f>
        <v/>
      </c>
      <c r="U68" s="29" t="str">
        <f aca="false">IF(OR(T68="",I68="",R68="Closed"),"",IF(R68="Late","ETA passed: "&amp;ROUND(T68,0)&amp;" days of stock left",IF(Settings!$B$4+T68&lt;I68,"YES: "&amp;ROUND(I68-(Settings!$B$4+T68),0)&amp;" days short","No")))</f>
        <v/>
      </c>
      <c r="V68" s="31" t="str">
        <f aca="false">IF(R68="","",IF(OR(R68="Late",R68="Ship overdue",R68="Stale"),Settings!$B$4,IF(R68="At risk",Settings!$B$4+2,"")))</f>
        <v/>
      </c>
    </row>
    <row r="69" customFormat="false" ht="15" hidden="false" customHeight="false" outlineLevel="0" collapsed="false">
      <c r="A69" s="32"/>
      <c r="B69" s="32"/>
      <c r="C69" s="32"/>
      <c r="D69" s="32"/>
      <c r="E69" s="33"/>
      <c r="F69" s="33"/>
      <c r="G69" s="34"/>
      <c r="H69" s="34"/>
      <c r="I69" s="34"/>
      <c r="J69" s="34"/>
      <c r="K69" s="32"/>
      <c r="L69" s="35"/>
      <c r="M69" s="33"/>
      <c r="N69" s="33"/>
      <c r="O69" s="27" t="str">
        <f aca="false">IF(A69="","",MAX(E69-F69,0))</f>
        <v/>
      </c>
      <c r="P69" s="28" t="str">
        <f aca="false">IF(OR(A69="",I69=""),"",MAX(Settings!$B$4-I69,0))</f>
        <v/>
      </c>
      <c r="Q69" s="28" t="str">
        <f aca="false">IF(OR(A69="",J69=""),"",Settings!$B$4-J69)</f>
        <v/>
      </c>
      <c r="R69" s="29" t="str">
        <f aca="false">IF(A69="","",IF(OR(K69="Received",AND(E69&lt;&gt;"",O69=0)),"Closed",IF(AND(I69&lt;&gt;"",Settings!$B$4&gt;I69),"Late",IF(AND(H69&lt;&gt;"",Settings!$B$4&gt;H69,K69&lt;&gt;"Shipped"),"Ship overdue",IF(OR(K69="Delayed",AND(I69&lt;&gt;"",I69-Settings!$B$4&lt;=Settings!$B$5,K69&lt;&gt;"Shipped")),"At risk",IF(AND(Q69&lt;&gt;"",Q69&gt;Settings!$B$6),"Stale","On track"))))))</f>
        <v/>
      </c>
      <c r="S69" s="29" t="str">
        <f aca="false">IF(R69="","",IF(R69="Late","Ask for a new ETA and tracking number",IF(R69="Ship overdue","Ask why it hasn't shipped; get a firm ship date",IF(R69="At risk","Confirm the ship date this week",IF(R69="Stale","Request a status update",IF(R69="Closed","-","No action needed"))))))</f>
        <v/>
      </c>
      <c r="T69" s="30" t="str">
        <f aca="false">IF(OR(A69="",N69="",M69=""),"",IF(N69=0,"",M69/N69))</f>
        <v/>
      </c>
      <c r="U69" s="29" t="str">
        <f aca="false">IF(OR(T69="",I69="",R69="Closed"),"",IF(R69="Late","ETA passed: "&amp;ROUND(T69,0)&amp;" days of stock left",IF(Settings!$B$4+T69&lt;I69,"YES: "&amp;ROUND(I69-(Settings!$B$4+T69),0)&amp;" days short","No")))</f>
        <v/>
      </c>
      <c r="V69" s="31" t="str">
        <f aca="false">IF(R69="","",IF(OR(R69="Late",R69="Ship overdue",R69="Stale"),Settings!$B$4,IF(R69="At risk",Settings!$B$4+2,"")))</f>
        <v/>
      </c>
    </row>
    <row r="70" customFormat="false" ht="15" hidden="false" customHeight="false" outlineLevel="0" collapsed="false">
      <c r="A70" s="32"/>
      <c r="B70" s="32"/>
      <c r="C70" s="32"/>
      <c r="D70" s="32"/>
      <c r="E70" s="33"/>
      <c r="F70" s="33"/>
      <c r="G70" s="34"/>
      <c r="H70" s="34"/>
      <c r="I70" s="34"/>
      <c r="J70" s="34"/>
      <c r="K70" s="32"/>
      <c r="L70" s="35"/>
      <c r="M70" s="33"/>
      <c r="N70" s="33"/>
      <c r="O70" s="27" t="str">
        <f aca="false">IF(A70="","",MAX(E70-F70,0))</f>
        <v/>
      </c>
      <c r="P70" s="28" t="str">
        <f aca="false">IF(OR(A70="",I70=""),"",MAX(Settings!$B$4-I70,0))</f>
        <v/>
      </c>
      <c r="Q70" s="28" t="str">
        <f aca="false">IF(OR(A70="",J70=""),"",Settings!$B$4-J70)</f>
        <v/>
      </c>
      <c r="R70" s="29" t="str">
        <f aca="false">IF(A70="","",IF(OR(K70="Received",AND(E70&lt;&gt;"",O70=0)),"Closed",IF(AND(I70&lt;&gt;"",Settings!$B$4&gt;I70),"Late",IF(AND(H70&lt;&gt;"",Settings!$B$4&gt;H70,K70&lt;&gt;"Shipped"),"Ship overdue",IF(OR(K70="Delayed",AND(I70&lt;&gt;"",I70-Settings!$B$4&lt;=Settings!$B$5,K70&lt;&gt;"Shipped")),"At risk",IF(AND(Q70&lt;&gt;"",Q70&gt;Settings!$B$6),"Stale","On track"))))))</f>
        <v/>
      </c>
      <c r="S70" s="29" t="str">
        <f aca="false">IF(R70="","",IF(R70="Late","Ask for a new ETA and tracking number",IF(R70="Ship overdue","Ask why it hasn't shipped; get a firm ship date",IF(R70="At risk","Confirm the ship date this week",IF(R70="Stale","Request a status update",IF(R70="Closed","-","No action needed"))))))</f>
        <v/>
      </c>
      <c r="T70" s="30" t="str">
        <f aca="false">IF(OR(A70="",N70="",M70=""),"",IF(N70=0,"",M70/N70))</f>
        <v/>
      </c>
      <c r="U70" s="29" t="str">
        <f aca="false">IF(OR(T70="",I70="",R70="Closed"),"",IF(R70="Late","ETA passed: "&amp;ROUND(T70,0)&amp;" days of stock left",IF(Settings!$B$4+T70&lt;I70,"YES: "&amp;ROUND(I70-(Settings!$B$4+T70),0)&amp;" days short","No")))</f>
        <v/>
      </c>
      <c r="V70" s="31" t="str">
        <f aca="false">IF(R70="","",IF(OR(R70="Late",R70="Ship overdue",R70="Stale"),Settings!$B$4,IF(R70="At risk",Settings!$B$4+2,"")))</f>
        <v/>
      </c>
    </row>
    <row r="71" customFormat="false" ht="15" hidden="false" customHeight="false" outlineLevel="0" collapsed="false">
      <c r="A71" s="32"/>
      <c r="B71" s="32"/>
      <c r="C71" s="32"/>
      <c r="D71" s="32"/>
      <c r="E71" s="33"/>
      <c r="F71" s="33"/>
      <c r="G71" s="34"/>
      <c r="H71" s="34"/>
      <c r="I71" s="34"/>
      <c r="J71" s="34"/>
      <c r="K71" s="32"/>
      <c r="L71" s="35"/>
      <c r="M71" s="33"/>
      <c r="N71" s="33"/>
      <c r="O71" s="27" t="str">
        <f aca="false">IF(A71="","",MAX(E71-F71,0))</f>
        <v/>
      </c>
      <c r="P71" s="28" t="str">
        <f aca="false">IF(OR(A71="",I71=""),"",MAX(Settings!$B$4-I71,0))</f>
        <v/>
      </c>
      <c r="Q71" s="28" t="str">
        <f aca="false">IF(OR(A71="",J71=""),"",Settings!$B$4-J71)</f>
        <v/>
      </c>
      <c r="R71" s="29" t="str">
        <f aca="false">IF(A71="","",IF(OR(K71="Received",AND(E71&lt;&gt;"",O71=0)),"Closed",IF(AND(I71&lt;&gt;"",Settings!$B$4&gt;I71),"Late",IF(AND(H71&lt;&gt;"",Settings!$B$4&gt;H71,K71&lt;&gt;"Shipped"),"Ship overdue",IF(OR(K71="Delayed",AND(I71&lt;&gt;"",I71-Settings!$B$4&lt;=Settings!$B$5,K71&lt;&gt;"Shipped")),"At risk",IF(AND(Q71&lt;&gt;"",Q71&gt;Settings!$B$6),"Stale","On track"))))))</f>
        <v/>
      </c>
      <c r="S71" s="29" t="str">
        <f aca="false">IF(R71="","",IF(R71="Late","Ask for a new ETA and tracking number",IF(R71="Ship overdue","Ask why it hasn't shipped; get a firm ship date",IF(R71="At risk","Confirm the ship date this week",IF(R71="Stale","Request a status update",IF(R71="Closed","-","No action needed"))))))</f>
        <v/>
      </c>
      <c r="T71" s="30" t="str">
        <f aca="false">IF(OR(A71="",N71="",M71=""),"",IF(N71=0,"",M71/N71))</f>
        <v/>
      </c>
      <c r="U71" s="29" t="str">
        <f aca="false">IF(OR(T71="",I71="",R71="Closed"),"",IF(R71="Late","ETA passed: "&amp;ROUND(T71,0)&amp;" days of stock left",IF(Settings!$B$4+T71&lt;I71,"YES: "&amp;ROUND(I71-(Settings!$B$4+T71),0)&amp;" days short","No")))</f>
        <v/>
      </c>
      <c r="V71" s="31" t="str">
        <f aca="false">IF(R71="","",IF(OR(R71="Late",R71="Ship overdue",R71="Stale"),Settings!$B$4,IF(R71="At risk",Settings!$B$4+2,"")))</f>
        <v/>
      </c>
    </row>
    <row r="72" customFormat="false" ht="15" hidden="false" customHeight="false" outlineLevel="0" collapsed="false">
      <c r="A72" s="32"/>
      <c r="B72" s="32"/>
      <c r="C72" s="32"/>
      <c r="D72" s="32"/>
      <c r="E72" s="33"/>
      <c r="F72" s="33"/>
      <c r="G72" s="34"/>
      <c r="H72" s="34"/>
      <c r="I72" s="34"/>
      <c r="J72" s="34"/>
      <c r="K72" s="32"/>
      <c r="L72" s="35"/>
      <c r="M72" s="33"/>
      <c r="N72" s="33"/>
      <c r="O72" s="27" t="str">
        <f aca="false">IF(A72="","",MAX(E72-F72,0))</f>
        <v/>
      </c>
      <c r="P72" s="28" t="str">
        <f aca="false">IF(OR(A72="",I72=""),"",MAX(Settings!$B$4-I72,0))</f>
        <v/>
      </c>
      <c r="Q72" s="28" t="str">
        <f aca="false">IF(OR(A72="",J72=""),"",Settings!$B$4-J72)</f>
        <v/>
      </c>
      <c r="R72" s="29" t="str">
        <f aca="false">IF(A72="","",IF(OR(K72="Received",AND(E72&lt;&gt;"",O72=0)),"Closed",IF(AND(I72&lt;&gt;"",Settings!$B$4&gt;I72),"Late",IF(AND(H72&lt;&gt;"",Settings!$B$4&gt;H72,K72&lt;&gt;"Shipped"),"Ship overdue",IF(OR(K72="Delayed",AND(I72&lt;&gt;"",I72-Settings!$B$4&lt;=Settings!$B$5,K72&lt;&gt;"Shipped")),"At risk",IF(AND(Q72&lt;&gt;"",Q72&gt;Settings!$B$6),"Stale","On track"))))))</f>
        <v/>
      </c>
      <c r="S72" s="29" t="str">
        <f aca="false">IF(R72="","",IF(R72="Late","Ask for a new ETA and tracking number",IF(R72="Ship overdue","Ask why it hasn't shipped; get a firm ship date",IF(R72="At risk","Confirm the ship date this week",IF(R72="Stale","Request a status update",IF(R72="Closed","-","No action needed"))))))</f>
        <v/>
      </c>
      <c r="T72" s="30" t="str">
        <f aca="false">IF(OR(A72="",N72="",M72=""),"",IF(N72=0,"",M72/N72))</f>
        <v/>
      </c>
      <c r="U72" s="29" t="str">
        <f aca="false">IF(OR(T72="",I72="",R72="Closed"),"",IF(R72="Late","ETA passed: "&amp;ROUND(T72,0)&amp;" days of stock left",IF(Settings!$B$4+T72&lt;I72,"YES: "&amp;ROUND(I72-(Settings!$B$4+T72),0)&amp;" days short","No")))</f>
        <v/>
      </c>
      <c r="V72" s="31" t="str">
        <f aca="false">IF(R72="","",IF(OR(R72="Late",R72="Ship overdue",R72="Stale"),Settings!$B$4,IF(R72="At risk",Settings!$B$4+2,"")))</f>
        <v/>
      </c>
    </row>
    <row r="73" customFormat="false" ht="15" hidden="false" customHeight="false" outlineLevel="0" collapsed="false">
      <c r="A73" s="32"/>
      <c r="B73" s="32"/>
      <c r="C73" s="32"/>
      <c r="D73" s="32"/>
      <c r="E73" s="33"/>
      <c r="F73" s="33"/>
      <c r="G73" s="34"/>
      <c r="H73" s="34"/>
      <c r="I73" s="34"/>
      <c r="J73" s="34"/>
      <c r="K73" s="32"/>
      <c r="L73" s="35"/>
      <c r="M73" s="33"/>
      <c r="N73" s="33"/>
      <c r="O73" s="27" t="str">
        <f aca="false">IF(A73="","",MAX(E73-F73,0))</f>
        <v/>
      </c>
      <c r="P73" s="28" t="str">
        <f aca="false">IF(OR(A73="",I73=""),"",MAX(Settings!$B$4-I73,0))</f>
        <v/>
      </c>
      <c r="Q73" s="28" t="str">
        <f aca="false">IF(OR(A73="",J73=""),"",Settings!$B$4-J73)</f>
        <v/>
      </c>
      <c r="R73" s="29" t="str">
        <f aca="false">IF(A73="","",IF(OR(K73="Received",AND(E73&lt;&gt;"",O73=0)),"Closed",IF(AND(I73&lt;&gt;"",Settings!$B$4&gt;I73),"Late",IF(AND(H73&lt;&gt;"",Settings!$B$4&gt;H73,K73&lt;&gt;"Shipped"),"Ship overdue",IF(OR(K73="Delayed",AND(I73&lt;&gt;"",I73-Settings!$B$4&lt;=Settings!$B$5,K73&lt;&gt;"Shipped")),"At risk",IF(AND(Q73&lt;&gt;"",Q73&gt;Settings!$B$6),"Stale","On track"))))))</f>
        <v/>
      </c>
      <c r="S73" s="29" t="str">
        <f aca="false">IF(R73="","",IF(R73="Late","Ask for a new ETA and tracking number",IF(R73="Ship overdue","Ask why it hasn't shipped; get a firm ship date",IF(R73="At risk","Confirm the ship date this week",IF(R73="Stale","Request a status update",IF(R73="Closed","-","No action needed"))))))</f>
        <v/>
      </c>
      <c r="T73" s="30" t="str">
        <f aca="false">IF(OR(A73="",N73="",M73=""),"",IF(N73=0,"",M73/N73))</f>
        <v/>
      </c>
      <c r="U73" s="29" t="str">
        <f aca="false">IF(OR(T73="",I73="",R73="Closed"),"",IF(R73="Late","ETA passed: "&amp;ROUND(T73,0)&amp;" days of stock left",IF(Settings!$B$4+T73&lt;I73,"YES: "&amp;ROUND(I73-(Settings!$B$4+T73),0)&amp;" days short","No")))</f>
        <v/>
      </c>
      <c r="V73" s="31" t="str">
        <f aca="false">IF(R73="","",IF(OR(R73="Late",R73="Ship overdue",R73="Stale"),Settings!$B$4,IF(R73="At risk",Settings!$B$4+2,"")))</f>
        <v/>
      </c>
    </row>
    <row r="74" customFormat="false" ht="15" hidden="false" customHeight="false" outlineLevel="0" collapsed="false">
      <c r="A74" s="32"/>
      <c r="B74" s="32"/>
      <c r="C74" s="32"/>
      <c r="D74" s="32"/>
      <c r="E74" s="33"/>
      <c r="F74" s="33"/>
      <c r="G74" s="34"/>
      <c r="H74" s="34"/>
      <c r="I74" s="34"/>
      <c r="J74" s="34"/>
      <c r="K74" s="32"/>
      <c r="L74" s="35"/>
      <c r="M74" s="33"/>
      <c r="N74" s="33"/>
      <c r="O74" s="27" t="str">
        <f aca="false">IF(A74="","",MAX(E74-F74,0))</f>
        <v/>
      </c>
      <c r="P74" s="28" t="str">
        <f aca="false">IF(OR(A74="",I74=""),"",MAX(Settings!$B$4-I74,0))</f>
        <v/>
      </c>
      <c r="Q74" s="28" t="str">
        <f aca="false">IF(OR(A74="",J74=""),"",Settings!$B$4-J74)</f>
        <v/>
      </c>
      <c r="R74" s="29" t="str">
        <f aca="false">IF(A74="","",IF(OR(K74="Received",AND(E74&lt;&gt;"",O74=0)),"Closed",IF(AND(I74&lt;&gt;"",Settings!$B$4&gt;I74),"Late",IF(AND(H74&lt;&gt;"",Settings!$B$4&gt;H74,K74&lt;&gt;"Shipped"),"Ship overdue",IF(OR(K74="Delayed",AND(I74&lt;&gt;"",I74-Settings!$B$4&lt;=Settings!$B$5,K74&lt;&gt;"Shipped")),"At risk",IF(AND(Q74&lt;&gt;"",Q74&gt;Settings!$B$6),"Stale","On track"))))))</f>
        <v/>
      </c>
      <c r="S74" s="29" t="str">
        <f aca="false">IF(R74="","",IF(R74="Late","Ask for a new ETA and tracking number",IF(R74="Ship overdue","Ask why it hasn't shipped; get a firm ship date",IF(R74="At risk","Confirm the ship date this week",IF(R74="Stale","Request a status update",IF(R74="Closed","-","No action needed"))))))</f>
        <v/>
      </c>
      <c r="T74" s="30" t="str">
        <f aca="false">IF(OR(A74="",N74="",M74=""),"",IF(N74=0,"",M74/N74))</f>
        <v/>
      </c>
      <c r="U74" s="29" t="str">
        <f aca="false">IF(OR(T74="",I74="",R74="Closed"),"",IF(R74="Late","ETA passed: "&amp;ROUND(T74,0)&amp;" days of stock left",IF(Settings!$B$4+T74&lt;I74,"YES: "&amp;ROUND(I74-(Settings!$B$4+T74),0)&amp;" days short","No")))</f>
        <v/>
      </c>
      <c r="V74" s="31" t="str">
        <f aca="false">IF(R74="","",IF(OR(R74="Late",R74="Ship overdue",R74="Stale"),Settings!$B$4,IF(R74="At risk",Settings!$B$4+2,"")))</f>
        <v/>
      </c>
    </row>
    <row r="75" customFormat="false" ht="15" hidden="false" customHeight="false" outlineLevel="0" collapsed="false">
      <c r="A75" s="32"/>
      <c r="B75" s="32"/>
      <c r="C75" s="32"/>
      <c r="D75" s="32"/>
      <c r="E75" s="33"/>
      <c r="F75" s="33"/>
      <c r="G75" s="34"/>
      <c r="H75" s="34"/>
      <c r="I75" s="34"/>
      <c r="J75" s="34"/>
      <c r="K75" s="32"/>
      <c r="L75" s="35"/>
      <c r="M75" s="33"/>
      <c r="N75" s="33"/>
      <c r="O75" s="27" t="str">
        <f aca="false">IF(A75="","",MAX(E75-F75,0))</f>
        <v/>
      </c>
      <c r="P75" s="28" t="str">
        <f aca="false">IF(OR(A75="",I75=""),"",MAX(Settings!$B$4-I75,0))</f>
        <v/>
      </c>
      <c r="Q75" s="28" t="str">
        <f aca="false">IF(OR(A75="",J75=""),"",Settings!$B$4-J75)</f>
        <v/>
      </c>
      <c r="R75" s="29" t="str">
        <f aca="false">IF(A75="","",IF(OR(K75="Received",AND(E75&lt;&gt;"",O75=0)),"Closed",IF(AND(I75&lt;&gt;"",Settings!$B$4&gt;I75),"Late",IF(AND(H75&lt;&gt;"",Settings!$B$4&gt;H75,K75&lt;&gt;"Shipped"),"Ship overdue",IF(OR(K75="Delayed",AND(I75&lt;&gt;"",I75-Settings!$B$4&lt;=Settings!$B$5,K75&lt;&gt;"Shipped")),"At risk",IF(AND(Q75&lt;&gt;"",Q75&gt;Settings!$B$6),"Stale","On track"))))))</f>
        <v/>
      </c>
      <c r="S75" s="29" t="str">
        <f aca="false">IF(R75="","",IF(R75="Late","Ask for a new ETA and tracking number",IF(R75="Ship overdue","Ask why it hasn't shipped; get a firm ship date",IF(R75="At risk","Confirm the ship date this week",IF(R75="Stale","Request a status update",IF(R75="Closed","-","No action needed"))))))</f>
        <v/>
      </c>
      <c r="T75" s="30" t="str">
        <f aca="false">IF(OR(A75="",N75="",M75=""),"",IF(N75=0,"",M75/N75))</f>
        <v/>
      </c>
      <c r="U75" s="29" t="str">
        <f aca="false">IF(OR(T75="",I75="",R75="Closed"),"",IF(R75="Late","ETA passed: "&amp;ROUND(T75,0)&amp;" days of stock left",IF(Settings!$B$4+T75&lt;I75,"YES: "&amp;ROUND(I75-(Settings!$B$4+T75),0)&amp;" days short","No")))</f>
        <v/>
      </c>
      <c r="V75" s="31" t="str">
        <f aca="false">IF(R75="","",IF(OR(R75="Late",R75="Ship overdue",R75="Stale"),Settings!$B$4,IF(R75="At risk",Settings!$B$4+2,"")))</f>
        <v/>
      </c>
    </row>
    <row r="76" customFormat="false" ht="15" hidden="false" customHeight="false" outlineLevel="0" collapsed="false">
      <c r="A76" s="32"/>
      <c r="B76" s="32"/>
      <c r="C76" s="32"/>
      <c r="D76" s="32"/>
      <c r="E76" s="33"/>
      <c r="F76" s="33"/>
      <c r="G76" s="34"/>
      <c r="H76" s="34"/>
      <c r="I76" s="34"/>
      <c r="J76" s="34"/>
      <c r="K76" s="32"/>
      <c r="L76" s="35"/>
      <c r="M76" s="33"/>
      <c r="N76" s="33"/>
      <c r="O76" s="27" t="str">
        <f aca="false">IF(A76="","",MAX(E76-F76,0))</f>
        <v/>
      </c>
      <c r="P76" s="28" t="str">
        <f aca="false">IF(OR(A76="",I76=""),"",MAX(Settings!$B$4-I76,0))</f>
        <v/>
      </c>
      <c r="Q76" s="28" t="str">
        <f aca="false">IF(OR(A76="",J76=""),"",Settings!$B$4-J76)</f>
        <v/>
      </c>
      <c r="R76" s="29" t="str">
        <f aca="false">IF(A76="","",IF(OR(K76="Received",AND(E76&lt;&gt;"",O76=0)),"Closed",IF(AND(I76&lt;&gt;"",Settings!$B$4&gt;I76),"Late",IF(AND(H76&lt;&gt;"",Settings!$B$4&gt;H76,K76&lt;&gt;"Shipped"),"Ship overdue",IF(OR(K76="Delayed",AND(I76&lt;&gt;"",I76-Settings!$B$4&lt;=Settings!$B$5,K76&lt;&gt;"Shipped")),"At risk",IF(AND(Q76&lt;&gt;"",Q76&gt;Settings!$B$6),"Stale","On track"))))))</f>
        <v/>
      </c>
      <c r="S76" s="29" t="str">
        <f aca="false">IF(R76="","",IF(R76="Late","Ask for a new ETA and tracking number",IF(R76="Ship overdue","Ask why it hasn't shipped; get a firm ship date",IF(R76="At risk","Confirm the ship date this week",IF(R76="Stale","Request a status update",IF(R76="Closed","-","No action needed"))))))</f>
        <v/>
      </c>
      <c r="T76" s="30" t="str">
        <f aca="false">IF(OR(A76="",N76="",M76=""),"",IF(N76=0,"",M76/N76))</f>
        <v/>
      </c>
      <c r="U76" s="29" t="str">
        <f aca="false">IF(OR(T76="",I76="",R76="Closed"),"",IF(R76="Late","ETA passed: "&amp;ROUND(T76,0)&amp;" days of stock left",IF(Settings!$B$4+T76&lt;I76,"YES: "&amp;ROUND(I76-(Settings!$B$4+T76),0)&amp;" days short","No")))</f>
        <v/>
      </c>
      <c r="V76" s="31" t="str">
        <f aca="false">IF(R76="","",IF(OR(R76="Late",R76="Ship overdue",R76="Stale"),Settings!$B$4,IF(R76="At risk",Settings!$B$4+2,"")))</f>
        <v/>
      </c>
    </row>
    <row r="77" customFormat="false" ht="15" hidden="false" customHeight="false" outlineLevel="0" collapsed="false">
      <c r="A77" s="32"/>
      <c r="B77" s="32"/>
      <c r="C77" s="32"/>
      <c r="D77" s="32"/>
      <c r="E77" s="33"/>
      <c r="F77" s="33"/>
      <c r="G77" s="34"/>
      <c r="H77" s="34"/>
      <c r="I77" s="34"/>
      <c r="J77" s="34"/>
      <c r="K77" s="32"/>
      <c r="L77" s="35"/>
      <c r="M77" s="33"/>
      <c r="N77" s="33"/>
      <c r="O77" s="27" t="str">
        <f aca="false">IF(A77="","",MAX(E77-F77,0))</f>
        <v/>
      </c>
      <c r="P77" s="28" t="str">
        <f aca="false">IF(OR(A77="",I77=""),"",MAX(Settings!$B$4-I77,0))</f>
        <v/>
      </c>
      <c r="Q77" s="28" t="str">
        <f aca="false">IF(OR(A77="",J77=""),"",Settings!$B$4-J77)</f>
        <v/>
      </c>
      <c r="R77" s="29" t="str">
        <f aca="false">IF(A77="","",IF(OR(K77="Received",AND(E77&lt;&gt;"",O77=0)),"Closed",IF(AND(I77&lt;&gt;"",Settings!$B$4&gt;I77),"Late",IF(AND(H77&lt;&gt;"",Settings!$B$4&gt;H77,K77&lt;&gt;"Shipped"),"Ship overdue",IF(OR(K77="Delayed",AND(I77&lt;&gt;"",I77-Settings!$B$4&lt;=Settings!$B$5,K77&lt;&gt;"Shipped")),"At risk",IF(AND(Q77&lt;&gt;"",Q77&gt;Settings!$B$6),"Stale","On track"))))))</f>
        <v/>
      </c>
      <c r="S77" s="29" t="str">
        <f aca="false">IF(R77="","",IF(R77="Late","Ask for a new ETA and tracking number",IF(R77="Ship overdue","Ask why it hasn't shipped; get a firm ship date",IF(R77="At risk","Confirm the ship date this week",IF(R77="Stale","Request a status update",IF(R77="Closed","-","No action needed"))))))</f>
        <v/>
      </c>
      <c r="T77" s="30" t="str">
        <f aca="false">IF(OR(A77="",N77="",M77=""),"",IF(N77=0,"",M77/N77))</f>
        <v/>
      </c>
      <c r="U77" s="29" t="str">
        <f aca="false">IF(OR(T77="",I77="",R77="Closed"),"",IF(R77="Late","ETA passed: "&amp;ROUND(T77,0)&amp;" days of stock left",IF(Settings!$B$4+T77&lt;I77,"YES: "&amp;ROUND(I77-(Settings!$B$4+T77),0)&amp;" days short","No")))</f>
        <v/>
      </c>
      <c r="V77" s="31" t="str">
        <f aca="false">IF(R77="","",IF(OR(R77="Late",R77="Ship overdue",R77="Stale"),Settings!$B$4,IF(R77="At risk",Settings!$B$4+2,"")))</f>
        <v/>
      </c>
    </row>
    <row r="78" customFormat="false" ht="15" hidden="false" customHeight="false" outlineLevel="0" collapsed="false">
      <c r="A78" s="32"/>
      <c r="B78" s="32"/>
      <c r="C78" s="32"/>
      <c r="D78" s="32"/>
      <c r="E78" s="33"/>
      <c r="F78" s="33"/>
      <c r="G78" s="34"/>
      <c r="H78" s="34"/>
      <c r="I78" s="34"/>
      <c r="J78" s="34"/>
      <c r="K78" s="32"/>
      <c r="L78" s="35"/>
      <c r="M78" s="33"/>
      <c r="N78" s="33"/>
      <c r="O78" s="27" t="str">
        <f aca="false">IF(A78="","",MAX(E78-F78,0))</f>
        <v/>
      </c>
      <c r="P78" s="28" t="str">
        <f aca="false">IF(OR(A78="",I78=""),"",MAX(Settings!$B$4-I78,0))</f>
        <v/>
      </c>
      <c r="Q78" s="28" t="str">
        <f aca="false">IF(OR(A78="",J78=""),"",Settings!$B$4-J78)</f>
        <v/>
      </c>
      <c r="R78" s="29" t="str">
        <f aca="false">IF(A78="","",IF(OR(K78="Received",AND(E78&lt;&gt;"",O78=0)),"Closed",IF(AND(I78&lt;&gt;"",Settings!$B$4&gt;I78),"Late",IF(AND(H78&lt;&gt;"",Settings!$B$4&gt;H78,K78&lt;&gt;"Shipped"),"Ship overdue",IF(OR(K78="Delayed",AND(I78&lt;&gt;"",I78-Settings!$B$4&lt;=Settings!$B$5,K78&lt;&gt;"Shipped")),"At risk",IF(AND(Q78&lt;&gt;"",Q78&gt;Settings!$B$6),"Stale","On track"))))))</f>
        <v/>
      </c>
      <c r="S78" s="29" t="str">
        <f aca="false">IF(R78="","",IF(R78="Late","Ask for a new ETA and tracking number",IF(R78="Ship overdue","Ask why it hasn't shipped; get a firm ship date",IF(R78="At risk","Confirm the ship date this week",IF(R78="Stale","Request a status update",IF(R78="Closed","-","No action needed"))))))</f>
        <v/>
      </c>
      <c r="T78" s="30" t="str">
        <f aca="false">IF(OR(A78="",N78="",M78=""),"",IF(N78=0,"",M78/N78))</f>
        <v/>
      </c>
      <c r="U78" s="29" t="str">
        <f aca="false">IF(OR(T78="",I78="",R78="Closed"),"",IF(R78="Late","ETA passed: "&amp;ROUND(T78,0)&amp;" days of stock left",IF(Settings!$B$4+T78&lt;I78,"YES: "&amp;ROUND(I78-(Settings!$B$4+T78),0)&amp;" days short","No")))</f>
        <v/>
      </c>
      <c r="V78" s="31" t="str">
        <f aca="false">IF(R78="","",IF(OR(R78="Late",R78="Ship overdue",R78="Stale"),Settings!$B$4,IF(R78="At risk",Settings!$B$4+2,"")))</f>
        <v/>
      </c>
    </row>
    <row r="79" customFormat="false" ht="15" hidden="false" customHeight="false" outlineLevel="0" collapsed="false">
      <c r="A79" s="32"/>
      <c r="B79" s="32"/>
      <c r="C79" s="32"/>
      <c r="D79" s="32"/>
      <c r="E79" s="33"/>
      <c r="F79" s="33"/>
      <c r="G79" s="34"/>
      <c r="H79" s="34"/>
      <c r="I79" s="34"/>
      <c r="J79" s="34"/>
      <c r="K79" s="32"/>
      <c r="L79" s="35"/>
      <c r="M79" s="33"/>
      <c r="N79" s="33"/>
      <c r="O79" s="27" t="str">
        <f aca="false">IF(A79="","",MAX(E79-F79,0))</f>
        <v/>
      </c>
      <c r="P79" s="28" t="str">
        <f aca="false">IF(OR(A79="",I79=""),"",MAX(Settings!$B$4-I79,0))</f>
        <v/>
      </c>
      <c r="Q79" s="28" t="str">
        <f aca="false">IF(OR(A79="",J79=""),"",Settings!$B$4-J79)</f>
        <v/>
      </c>
      <c r="R79" s="29" t="str">
        <f aca="false">IF(A79="","",IF(OR(K79="Received",AND(E79&lt;&gt;"",O79=0)),"Closed",IF(AND(I79&lt;&gt;"",Settings!$B$4&gt;I79),"Late",IF(AND(H79&lt;&gt;"",Settings!$B$4&gt;H79,K79&lt;&gt;"Shipped"),"Ship overdue",IF(OR(K79="Delayed",AND(I79&lt;&gt;"",I79-Settings!$B$4&lt;=Settings!$B$5,K79&lt;&gt;"Shipped")),"At risk",IF(AND(Q79&lt;&gt;"",Q79&gt;Settings!$B$6),"Stale","On track"))))))</f>
        <v/>
      </c>
      <c r="S79" s="29" t="str">
        <f aca="false">IF(R79="","",IF(R79="Late","Ask for a new ETA and tracking number",IF(R79="Ship overdue","Ask why it hasn't shipped; get a firm ship date",IF(R79="At risk","Confirm the ship date this week",IF(R79="Stale","Request a status update",IF(R79="Closed","-","No action needed"))))))</f>
        <v/>
      </c>
      <c r="T79" s="30" t="str">
        <f aca="false">IF(OR(A79="",N79="",M79=""),"",IF(N79=0,"",M79/N79))</f>
        <v/>
      </c>
      <c r="U79" s="29" t="str">
        <f aca="false">IF(OR(T79="",I79="",R79="Closed"),"",IF(R79="Late","ETA passed: "&amp;ROUND(T79,0)&amp;" days of stock left",IF(Settings!$B$4+T79&lt;I79,"YES: "&amp;ROUND(I79-(Settings!$B$4+T79),0)&amp;" days short","No")))</f>
        <v/>
      </c>
      <c r="V79" s="31" t="str">
        <f aca="false">IF(R79="","",IF(OR(R79="Late",R79="Ship overdue",R79="Stale"),Settings!$B$4,IF(R79="At risk",Settings!$B$4+2,"")))</f>
        <v/>
      </c>
    </row>
    <row r="80" customFormat="false" ht="15" hidden="false" customHeight="false" outlineLevel="0" collapsed="false">
      <c r="A80" s="32"/>
      <c r="B80" s="32"/>
      <c r="C80" s="32"/>
      <c r="D80" s="32"/>
      <c r="E80" s="33"/>
      <c r="F80" s="33"/>
      <c r="G80" s="34"/>
      <c r="H80" s="34"/>
      <c r="I80" s="34"/>
      <c r="J80" s="34"/>
      <c r="K80" s="32"/>
      <c r="L80" s="35"/>
      <c r="M80" s="33"/>
      <c r="N80" s="33"/>
      <c r="O80" s="27" t="str">
        <f aca="false">IF(A80="","",MAX(E80-F80,0))</f>
        <v/>
      </c>
      <c r="P80" s="28" t="str">
        <f aca="false">IF(OR(A80="",I80=""),"",MAX(Settings!$B$4-I80,0))</f>
        <v/>
      </c>
      <c r="Q80" s="28" t="str">
        <f aca="false">IF(OR(A80="",J80=""),"",Settings!$B$4-J80)</f>
        <v/>
      </c>
      <c r="R80" s="29" t="str">
        <f aca="false">IF(A80="","",IF(OR(K80="Received",AND(E80&lt;&gt;"",O80=0)),"Closed",IF(AND(I80&lt;&gt;"",Settings!$B$4&gt;I80),"Late",IF(AND(H80&lt;&gt;"",Settings!$B$4&gt;H80,K80&lt;&gt;"Shipped"),"Ship overdue",IF(OR(K80="Delayed",AND(I80&lt;&gt;"",I80-Settings!$B$4&lt;=Settings!$B$5,K80&lt;&gt;"Shipped")),"At risk",IF(AND(Q80&lt;&gt;"",Q80&gt;Settings!$B$6),"Stale","On track"))))))</f>
        <v/>
      </c>
      <c r="S80" s="29" t="str">
        <f aca="false">IF(R80="","",IF(R80="Late","Ask for a new ETA and tracking number",IF(R80="Ship overdue","Ask why it hasn't shipped; get a firm ship date",IF(R80="At risk","Confirm the ship date this week",IF(R80="Stale","Request a status update",IF(R80="Closed","-","No action needed"))))))</f>
        <v/>
      </c>
      <c r="T80" s="30" t="str">
        <f aca="false">IF(OR(A80="",N80="",M80=""),"",IF(N80=0,"",M80/N80))</f>
        <v/>
      </c>
      <c r="U80" s="29" t="str">
        <f aca="false">IF(OR(T80="",I80="",R80="Closed"),"",IF(R80="Late","ETA passed: "&amp;ROUND(T80,0)&amp;" days of stock left",IF(Settings!$B$4+T80&lt;I80,"YES: "&amp;ROUND(I80-(Settings!$B$4+T80),0)&amp;" days short","No")))</f>
        <v/>
      </c>
      <c r="V80" s="31" t="str">
        <f aca="false">IF(R80="","",IF(OR(R80="Late",R80="Ship overdue",R80="Stale"),Settings!$B$4,IF(R80="At risk",Settings!$B$4+2,"")))</f>
        <v/>
      </c>
    </row>
    <row r="81" customFormat="false" ht="15" hidden="false" customHeight="false" outlineLevel="0" collapsed="false">
      <c r="A81" s="32"/>
      <c r="B81" s="32"/>
      <c r="C81" s="32"/>
      <c r="D81" s="32"/>
      <c r="E81" s="33"/>
      <c r="F81" s="33"/>
      <c r="G81" s="34"/>
      <c r="H81" s="34"/>
      <c r="I81" s="34"/>
      <c r="J81" s="34"/>
      <c r="K81" s="32"/>
      <c r="L81" s="35"/>
      <c r="M81" s="33"/>
      <c r="N81" s="33"/>
      <c r="O81" s="27" t="str">
        <f aca="false">IF(A81="","",MAX(E81-F81,0))</f>
        <v/>
      </c>
      <c r="P81" s="28" t="str">
        <f aca="false">IF(OR(A81="",I81=""),"",MAX(Settings!$B$4-I81,0))</f>
        <v/>
      </c>
      <c r="Q81" s="28" t="str">
        <f aca="false">IF(OR(A81="",J81=""),"",Settings!$B$4-J81)</f>
        <v/>
      </c>
      <c r="R81" s="29" t="str">
        <f aca="false">IF(A81="","",IF(OR(K81="Received",AND(E81&lt;&gt;"",O81=0)),"Closed",IF(AND(I81&lt;&gt;"",Settings!$B$4&gt;I81),"Late",IF(AND(H81&lt;&gt;"",Settings!$B$4&gt;H81,K81&lt;&gt;"Shipped"),"Ship overdue",IF(OR(K81="Delayed",AND(I81&lt;&gt;"",I81-Settings!$B$4&lt;=Settings!$B$5,K81&lt;&gt;"Shipped")),"At risk",IF(AND(Q81&lt;&gt;"",Q81&gt;Settings!$B$6),"Stale","On track"))))))</f>
        <v/>
      </c>
      <c r="S81" s="29" t="str">
        <f aca="false">IF(R81="","",IF(R81="Late","Ask for a new ETA and tracking number",IF(R81="Ship overdue","Ask why it hasn't shipped; get a firm ship date",IF(R81="At risk","Confirm the ship date this week",IF(R81="Stale","Request a status update",IF(R81="Closed","-","No action needed"))))))</f>
        <v/>
      </c>
      <c r="T81" s="30" t="str">
        <f aca="false">IF(OR(A81="",N81="",M81=""),"",IF(N81=0,"",M81/N81))</f>
        <v/>
      </c>
      <c r="U81" s="29" t="str">
        <f aca="false">IF(OR(T81="",I81="",R81="Closed"),"",IF(R81="Late","ETA passed: "&amp;ROUND(T81,0)&amp;" days of stock left",IF(Settings!$B$4+T81&lt;I81,"YES: "&amp;ROUND(I81-(Settings!$B$4+T81),0)&amp;" days short","No")))</f>
        <v/>
      </c>
      <c r="V81" s="31" t="str">
        <f aca="false">IF(R81="","",IF(OR(R81="Late",R81="Ship overdue",R81="Stale"),Settings!$B$4,IF(R81="At risk",Settings!$B$4+2,"")))</f>
        <v/>
      </c>
    </row>
    <row r="82" customFormat="false" ht="15" hidden="false" customHeight="false" outlineLevel="0" collapsed="false">
      <c r="A82" s="32"/>
      <c r="B82" s="32"/>
      <c r="C82" s="32"/>
      <c r="D82" s="32"/>
      <c r="E82" s="33"/>
      <c r="F82" s="33"/>
      <c r="G82" s="34"/>
      <c r="H82" s="34"/>
      <c r="I82" s="34"/>
      <c r="J82" s="34"/>
      <c r="K82" s="32"/>
      <c r="L82" s="35"/>
      <c r="M82" s="33"/>
      <c r="N82" s="33"/>
      <c r="O82" s="27" t="str">
        <f aca="false">IF(A82="","",MAX(E82-F82,0))</f>
        <v/>
      </c>
      <c r="P82" s="28" t="str">
        <f aca="false">IF(OR(A82="",I82=""),"",MAX(Settings!$B$4-I82,0))</f>
        <v/>
      </c>
      <c r="Q82" s="28" t="str">
        <f aca="false">IF(OR(A82="",J82=""),"",Settings!$B$4-J82)</f>
        <v/>
      </c>
      <c r="R82" s="29" t="str">
        <f aca="false">IF(A82="","",IF(OR(K82="Received",AND(E82&lt;&gt;"",O82=0)),"Closed",IF(AND(I82&lt;&gt;"",Settings!$B$4&gt;I82),"Late",IF(AND(H82&lt;&gt;"",Settings!$B$4&gt;H82,K82&lt;&gt;"Shipped"),"Ship overdue",IF(OR(K82="Delayed",AND(I82&lt;&gt;"",I82-Settings!$B$4&lt;=Settings!$B$5,K82&lt;&gt;"Shipped")),"At risk",IF(AND(Q82&lt;&gt;"",Q82&gt;Settings!$B$6),"Stale","On track"))))))</f>
        <v/>
      </c>
      <c r="S82" s="29" t="str">
        <f aca="false">IF(R82="","",IF(R82="Late","Ask for a new ETA and tracking number",IF(R82="Ship overdue","Ask why it hasn't shipped; get a firm ship date",IF(R82="At risk","Confirm the ship date this week",IF(R82="Stale","Request a status update",IF(R82="Closed","-","No action needed"))))))</f>
        <v/>
      </c>
      <c r="T82" s="30" t="str">
        <f aca="false">IF(OR(A82="",N82="",M82=""),"",IF(N82=0,"",M82/N82))</f>
        <v/>
      </c>
      <c r="U82" s="29" t="str">
        <f aca="false">IF(OR(T82="",I82="",R82="Closed"),"",IF(R82="Late","ETA passed: "&amp;ROUND(T82,0)&amp;" days of stock left",IF(Settings!$B$4+T82&lt;I82,"YES: "&amp;ROUND(I82-(Settings!$B$4+T82),0)&amp;" days short","No")))</f>
        <v/>
      </c>
      <c r="V82" s="31" t="str">
        <f aca="false">IF(R82="","",IF(OR(R82="Late",R82="Ship overdue",R82="Stale"),Settings!$B$4,IF(R82="At risk",Settings!$B$4+2,"")))</f>
        <v/>
      </c>
    </row>
    <row r="83" customFormat="false" ht="15" hidden="false" customHeight="false" outlineLevel="0" collapsed="false">
      <c r="A83" s="32"/>
      <c r="B83" s="32"/>
      <c r="C83" s="32"/>
      <c r="D83" s="32"/>
      <c r="E83" s="33"/>
      <c r="F83" s="33"/>
      <c r="G83" s="34"/>
      <c r="H83" s="34"/>
      <c r="I83" s="34"/>
      <c r="J83" s="34"/>
      <c r="K83" s="32"/>
      <c r="L83" s="35"/>
      <c r="M83" s="33"/>
      <c r="N83" s="33"/>
      <c r="O83" s="27" t="str">
        <f aca="false">IF(A83="","",MAX(E83-F83,0))</f>
        <v/>
      </c>
      <c r="P83" s="28" t="str">
        <f aca="false">IF(OR(A83="",I83=""),"",MAX(Settings!$B$4-I83,0))</f>
        <v/>
      </c>
      <c r="Q83" s="28" t="str">
        <f aca="false">IF(OR(A83="",J83=""),"",Settings!$B$4-J83)</f>
        <v/>
      </c>
      <c r="R83" s="29" t="str">
        <f aca="false">IF(A83="","",IF(OR(K83="Received",AND(E83&lt;&gt;"",O83=0)),"Closed",IF(AND(I83&lt;&gt;"",Settings!$B$4&gt;I83),"Late",IF(AND(H83&lt;&gt;"",Settings!$B$4&gt;H83,K83&lt;&gt;"Shipped"),"Ship overdue",IF(OR(K83="Delayed",AND(I83&lt;&gt;"",I83-Settings!$B$4&lt;=Settings!$B$5,K83&lt;&gt;"Shipped")),"At risk",IF(AND(Q83&lt;&gt;"",Q83&gt;Settings!$B$6),"Stale","On track"))))))</f>
        <v/>
      </c>
      <c r="S83" s="29" t="str">
        <f aca="false">IF(R83="","",IF(R83="Late","Ask for a new ETA and tracking number",IF(R83="Ship overdue","Ask why it hasn't shipped; get a firm ship date",IF(R83="At risk","Confirm the ship date this week",IF(R83="Stale","Request a status update",IF(R83="Closed","-","No action needed"))))))</f>
        <v/>
      </c>
      <c r="T83" s="30" t="str">
        <f aca="false">IF(OR(A83="",N83="",M83=""),"",IF(N83=0,"",M83/N83))</f>
        <v/>
      </c>
      <c r="U83" s="29" t="str">
        <f aca="false">IF(OR(T83="",I83="",R83="Closed"),"",IF(R83="Late","ETA passed: "&amp;ROUND(T83,0)&amp;" days of stock left",IF(Settings!$B$4+T83&lt;I83,"YES: "&amp;ROUND(I83-(Settings!$B$4+T83),0)&amp;" days short","No")))</f>
        <v/>
      </c>
      <c r="V83" s="31" t="str">
        <f aca="false">IF(R83="","",IF(OR(R83="Late",R83="Ship overdue",R83="Stale"),Settings!$B$4,IF(R83="At risk",Settings!$B$4+2,"")))</f>
        <v/>
      </c>
    </row>
    <row r="84" customFormat="false" ht="15" hidden="false" customHeight="false" outlineLevel="0" collapsed="false">
      <c r="A84" s="32"/>
      <c r="B84" s="32"/>
      <c r="C84" s="32"/>
      <c r="D84" s="32"/>
      <c r="E84" s="33"/>
      <c r="F84" s="33"/>
      <c r="G84" s="34"/>
      <c r="H84" s="34"/>
      <c r="I84" s="34"/>
      <c r="J84" s="34"/>
      <c r="K84" s="32"/>
      <c r="L84" s="35"/>
      <c r="M84" s="33"/>
      <c r="N84" s="33"/>
      <c r="O84" s="27" t="str">
        <f aca="false">IF(A84="","",MAX(E84-F84,0))</f>
        <v/>
      </c>
      <c r="P84" s="28" t="str">
        <f aca="false">IF(OR(A84="",I84=""),"",MAX(Settings!$B$4-I84,0))</f>
        <v/>
      </c>
      <c r="Q84" s="28" t="str">
        <f aca="false">IF(OR(A84="",J84=""),"",Settings!$B$4-J84)</f>
        <v/>
      </c>
      <c r="R84" s="29" t="str">
        <f aca="false">IF(A84="","",IF(OR(K84="Received",AND(E84&lt;&gt;"",O84=0)),"Closed",IF(AND(I84&lt;&gt;"",Settings!$B$4&gt;I84),"Late",IF(AND(H84&lt;&gt;"",Settings!$B$4&gt;H84,K84&lt;&gt;"Shipped"),"Ship overdue",IF(OR(K84="Delayed",AND(I84&lt;&gt;"",I84-Settings!$B$4&lt;=Settings!$B$5,K84&lt;&gt;"Shipped")),"At risk",IF(AND(Q84&lt;&gt;"",Q84&gt;Settings!$B$6),"Stale","On track"))))))</f>
        <v/>
      </c>
      <c r="S84" s="29" t="str">
        <f aca="false">IF(R84="","",IF(R84="Late","Ask for a new ETA and tracking number",IF(R84="Ship overdue","Ask why it hasn't shipped; get a firm ship date",IF(R84="At risk","Confirm the ship date this week",IF(R84="Stale","Request a status update",IF(R84="Closed","-","No action needed"))))))</f>
        <v/>
      </c>
      <c r="T84" s="30" t="str">
        <f aca="false">IF(OR(A84="",N84="",M84=""),"",IF(N84=0,"",M84/N84))</f>
        <v/>
      </c>
      <c r="U84" s="29" t="str">
        <f aca="false">IF(OR(T84="",I84="",R84="Closed"),"",IF(R84="Late","ETA passed: "&amp;ROUND(T84,0)&amp;" days of stock left",IF(Settings!$B$4+T84&lt;I84,"YES: "&amp;ROUND(I84-(Settings!$B$4+T84),0)&amp;" days short","No")))</f>
        <v/>
      </c>
      <c r="V84" s="31" t="str">
        <f aca="false">IF(R84="","",IF(OR(R84="Late",R84="Ship overdue",R84="Stale"),Settings!$B$4,IF(R84="At risk",Settings!$B$4+2,"")))</f>
        <v/>
      </c>
    </row>
    <row r="85" customFormat="false" ht="15" hidden="false" customHeight="false" outlineLevel="0" collapsed="false">
      <c r="A85" s="32"/>
      <c r="B85" s="32"/>
      <c r="C85" s="32"/>
      <c r="D85" s="32"/>
      <c r="E85" s="33"/>
      <c r="F85" s="33"/>
      <c r="G85" s="34"/>
      <c r="H85" s="34"/>
      <c r="I85" s="34"/>
      <c r="J85" s="34"/>
      <c r="K85" s="32"/>
      <c r="L85" s="35"/>
      <c r="M85" s="33"/>
      <c r="N85" s="33"/>
      <c r="O85" s="27" t="str">
        <f aca="false">IF(A85="","",MAX(E85-F85,0))</f>
        <v/>
      </c>
      <c r="P85" s="28" t="str">
        <f aca="false">IF(OR(A85="",I85=""),"",MAX(Settings!$B$4-I85,0))</f>
        <v/>
      </c>
      <c r="Q85" s="28" t="str">
        <f aca="false">IF(OR(A85="",J85=""),"",Settings!$B$4-J85)</f>
        <v/>
      </c>
      <c r="R85" s="29" t="str">
        <f aca="false">IF(A85="","",IF(OR(K85="Received",AND(E85&lt;&gt;"",O85=0)),"Closed",IF(AND(I85&lt;&gt;"",Settings!$B$4&gt;I85),"Late",IF(AND(H85&lt;&gt;"",Settings!$B$4&gt;H85,K85&lt;&gt;"Shipped"),"Ship overdue",IF(OR(K85="Delayed",AND(I85&lt;&gt;"",I85-Settings!$B$4&lt;=Settings!$B$5,K85&lt;&gt;"Shipped")),"At risk",IF(AND(Q85&lt;&gt;"",Q85&gt;Settings!$B$6),"Stale","On track"))))))</f>
        <v/>
      </c>
      <c r="S85" s="29" t="str">
        <f aca="false">IF(R85="","",IF(R85="Late","Ask for a new ETA and tracking number",IF(R85="Ship overdue","Ask why it hasn't shipped; get a firm ship date",IF(R85="At risk","Confirm the ship date this week",IF(R85="Stale","Request a status update",IF(R85="Closed","-","No action needed"))))))</f>
        <v/>
      </c>
      <c r="T85" s="30" t="str">
        <f aca="false">IF(OR(A85="",N85="",M85=""),"",IF(N85=0,"",M85/N85))</f>
        <v/>
      </c>
      <c r="U85" s="29" t="str">
        <f aca="false">IF(OR(T85="",I85="",R85="Closed"),"",IF(R85="Late","ETA passed: "&amp;ROUND(T85,0)&amp;" days of stock left",IF(Settings!$B$4+T85&lt;I85,"YES: "&amp;ROUND(I85-(Settings!$B$4+T85),0)&amp;" days short","No")))</f>
        <v/>
      </c>
      <c r="V85" s="31" t="str">
        <f aca="false">IF(R85="","",IF(OR(R85="Late",R85="Ship overdue",R85="Stale"),Settings!$B$4,IF(R85="At risk",Settings!$B$4+2,"")))</f>
        <v/>
      </c>
    </row>
    <row r="86" customFormat="false" ht="15" hidden="false" customHeight="false" outlineLevel="0" collapsed="false">
      <c r="A86" s="32"/>
      <c r="B86" s="32"/>
      <c r="C86" s="32"/>
      <c r="D86" s="32"/>
      <c r="E86" s="33"/>
      <c r="F86" s="33"/>
      <c r="G86" s="34"/>
      <c r="H86" s="34"/>
      <c r="I86" s="34"/>
      <c r="J86" s="34"/>
      <c r="K86" s="32"/>
      <c r="L86" s="35"/>
      <c r="M86" s="33"/>
      <c r="N86" s="33"/>
      <c r="O86" s="27" t="str">
        <f aca="false">IF(A86="","",MAX(E86-F86,0))</f>
        <v/>
      </c>
      <c r="P86" s="28" t="str">
        <f aca="false">IF(OR(A86="",I86=""),"",MAX(Settings!$B$4-I86,0))</f>
        <v/>
      </c>
      <c r="Q86" s="28" t="str">
        <f aca="false">IF(OR(A86="",J86=""),"",Settings!$B$4-J86)</f>
        <v/>
      </c>
      <c r="R86" s="29" t="str">
        <f aca="false">IF(A86="","",IF(OR(K86="Received",AND(E86&lt;&gt;"",O86=0)),"Closed",IF(AND(I86&lt;&gt;"",Settings!$B$4&gt;I86),"Late",IF(AND(H86&lt;&gt;"",Settings!$B$4&gt;H86,K86&lt;&gt;"Shipped"),"Ship overdue",IF(OR(K86="Delayed",AND(I86&lt;&gt;"",I86-Settings!$B$4&lt;=Settings!$B$5,K86&lt;&gt;"Shipped")),"At risk",IF(AND(Q86&lt;&gt;"",Q86&gt;Settings!$B$6),"Stale","On track"))))))</f>
        <v/>
      </c>
      <c r="S86" s="29" t="str">
        <f aca="false">IF(R86="","",IF(R86="Late","Ask for a new ETA and tracking number",IF(R86="Ship overdue","Ask why it hasn't shipped; get a firm ship date",IF(R86="At risk","Confirm the ship date this week",IF(R86="Stale","Request a status update",IF(R86="Closed","-","No action needed"))))))</f>
        <v/>
      </c>
      <c r="T86" s="30" t="str">
        <f aca="false">IF(OR(A86="",N86="",M86=""),"",IF(N86=0,"",M86/N86))</f>
        <v/>
      </c>
      <c r="U86" s="29" t="str">
        <f aca="false">IF(OR(T86="",I86="",R86="Closed"),"",IF(R86="Late","ETA passed: "&amp;ROUND(T86,0)&amp;" days of stock left",IF(Settings!$B$4+T86&lt;I86,"YES: "&amp;ROUND(I86-(Settings!$B$4+T86),0)&amp;" days short","No")))</f>
        <v/>
      </c>
      <c r="V86" s="31" t="str">
        <f aca="false">IF(R86="","",IF(OR(R86="Late",R86="Ship overdue",R86="Stale"),Settings!$B$4,IF(R86="At risk",Settings!$B$4+2,"")))</f>
        <v/>
      </c>
    </row>
    <row r="87" customFormat="false" ht="15" hidden="false" customHeight="false" outlineLevel="0" collapsed="false">
      <c r="A87" s="32"/>
      <c r="B87" s="32"/>
      <c r="C87" s="32"/>
      <c r="D87" s="32"/>
      <c r="E87" s="33"/>
      <c r="F87" s="33"/>
      <c r="G87" s="34"/>
      <c r="H87" s="34"/>
      <c r="I87" s="34"/>
      <c r="J87" s="34"/>
      <c r="K87" s="32"/>
      <c r="L87" s="35"/>
      <c r="M87" s="33"/>
      <c r="N87" s="33"/>
      <c r="O87" s="27" t="str">
        <f aca="false">IF(A87="","",MAX(E87-F87,0))</f>
        <v/>
      </c>
      <c r="P87" s="28" t="str">
        <f aca="false">IF(OR(A87="",I87=""),"",MAX(Settings!$B$4-I87,0))</f>
        <v/>
      </c>
      <c r="Q87" s="28" t="str">
        <f aca="false">IF(OR(A87="",J87=""),"",Settings!$B$4-J87)</f>
        <v/>
      </c>
      <c r="R87" s="29" t="str">
        <f aca="false">IF(A87="","",IF(OR(K87="Received",AND(E87&lt;&gt;"",O87=0)),"Closed",IF(AND(I87&lt;&gt;"",Settings!$B$4&gt;I87),"Late",IF(AND(H87&lt;&gt;"",Settings!$B$4&gt;H87,K87&lt;&gt;"Shipped"),"Ship overdue",IF(OR(K87="Delayed",AND(I87&lt;&gt;"",I87-Settings!$B$4&lt;=Settings!$B$5,K87&lt;&gt;"Shipped")),"At risk",IF(AND(Q87&lt;&gt;"",Q87&gt;Settings!$B$6),"Stale","On track"))))))</f>
        <v/>
      </c>
      <c r="S87" s="29" t="str">
        <f aca="false">IF(R87="","",IF(R87="Late","Ask for a new ETA and tracking number",IF(R87="Ship overdue","Ask why it hasn't shipped; get a firm ship date",IF(R87="At risk","Confirm the ship date this week",IF(R87="Stale","Request a status update",IF(R87="Closed","-","No action needed"))))))</f>
        <v/>
      </c>
      <c r="T87" s="30" t="str">
        <f aca="false">IF(OR(A87="",N87="",M87=""),"",IF(N87=0,"",M87/N87))</f>
        <v/>
      </c>
      <c r="U87" s="29" t="str">
        <f aca="false">IF(OR(T87="",I87="",R87="Closed"),"",IF(R87="Late","ETA passed: "&amp;ROUND(T87,0)&amp;" days of stock left",IF(Settings!$B$4+T87&lt;I87,"YES: "&amp;ROUND(I87-(Settings!$B$4+T87),0)&amp;" days short","No")))</f>
        <v/>
      </c>
      <c r="V87" s="31" t="str">
        <f aca="false">IF(R87="","",IF(OR(R87="Late",R87="Ship overdue",R87="Stale"),Settings!$B$4,IF(R87="At risk",Settings!$B$4+2,"")))</f>
        <v/>
      </c>
    </row>
    <row r="88" customFormat="false" ht="15" hidden="false" customHeight="false" outlineLevel="0" collapsed="false">
      <c r="A88" s="32"/>
      <c r="B88" s="32"/>
      <c r="C88" s="32"/>
      <c r="D88" s="32"/>
      <c r="E88" s="33"/>
      <c r="F88" s="33"/>
      <c r="G88" s="34"/>
      <c r="H88" s="34"/>
      <c r="I88" s="34"/>
      <c r="J88" s="34"/>
      <c r="K88" s="32"/>
      <c r="L88" s="35"/>
      <c r="M88" s="33"/>
      <c r="N88" s="33"/>
      <c r="O88" s="27" t="str">
        <f aca="false">IF(A88="","",MAX(E88-F88,0))</f>
        <v/>
      </c>
      <c r="P88" s="28" t="str">
        <f aca="false">IF(OR(A88="",I88=""),"",MAX(Settings!$B$4-I88,0))</f>
        <v/>
      </c>
      <c r="Q88" s="28" t="str">
        <f aca="false">IF(OR(A88="",J88=""),"",Settings!$B$4-J88)</f>
        <v/>
      </c>
      <c r="R88" s="29" t="str">
        <f aca="false">IF(A88="","",IF(OR(K88="Received",AND(E88&lt;&gt;"",O88=0)),"Closed",IF(AND(I88&lt;&gt;"",Settings!$B$4&gt;I88),"Late",IF(AND(H88&lt;&gt;"",Settings!$B$4&gt;H88,K88&lt;&gt;"Shipped"),"Ship overdue",IF(OR(K88="Delayed",AND(I88&lt;&gt;"",I88-Settings!$B$4&lt;=Settings!$B$5,K88&lt;&gt;"Shipped")),"At risk",IF(AND(Q88&lt;&gt;"",Q88&gt;Settings!$B$6),"Stale","On track"))))))</f>
        <v/>
      </c>
      <c r="S88" s="29" t="str">
        <f aca="false">IF(R88="","",IF(R88="Late","Ask for a new ETA and tracking number",IF(R88="Ship overdue","Ask why it hasn't shipped; get a firm ship date",IF(R88="At risk","Confirm the ship date this week",IF(R88="Stale","Request a status update",IF(R88="Closed","-","No action needed"))))))</f>
        <v/>
      </c>
      <c r="T88" s="30" t="str">
        <f aca="false">IF(OR(A88="",N88="",M88=""),"",IF(N88=0,"",M88/N88))</f>
        <v/>
      </c>
      <c r="U88" s="29" t="str">
        <f aca="false">IF(OR(T88="",I88="",R88="Closed"),"",IF(R88="Late","ETA passed: "&amp;ROUND(T88,0)&amp;" days of stock left",IF(Settings!$B$4+T88&lt;I88,"YES: "&amp;ROUND(I88-(Settings!$B$4+T88),0)&amp;" days short","No")))</f>
        <v/>
      </c>
      <c r="V88" s="31" t="str">
        <f aca="false">IF(R88="","",IF(OR(R88="Late",R88="Ship overdue",R88="Stale"),Settings!$B$4,IF(R88="At risk",Settings!$B$4+2,"")))</f>
        <v/>
      </c>
    </row>
    <row r="89" customFormat="false" ht="15" hidden="false" customHeight="false" outlineLevel="0" collapsed="false">
      <c r="A89" s="32"/>
      <c r="B89" s="32"/>
      <c r="C89" s="32"/>
      <c r="D89" s="32"/>
      <c r="E89" s="33"/>
      <c r="F89" s="33"/>
      <c r="G89" s="34"/>
      <c r="H89" s="34"/>
      <c r="I89" s="34"/>
      <c r="J89" s="34"/>
      <c r="K89" s="32"/>
      <c r="L89" s="35"/>
      <c r="M89" s="33"/>
      <c r="N89" s="33"/>
      <c r="O89" s="27" t="str">
        <f aca="false">IF(A89="","",MAX(E89-F89,0))</f>
        <v/>
      </c>
      <c r="P89" s="28" t="str">
        <f aca="false">IF(OR(A89="",I89=""),"",MAX(Settings!$B$4-I89,0))</f>
        <v/>
      </c>
      <c r="Q89" s="28" t="str">
        <f aca="false">IF(OR(A89="",J89=""),"",Settings!$B$4-J89)</f>
        <v/>
      </c>
      <c r="R89" s="29" t="str">
        <f aca="false">IF(A89="","",IF(OR(K89="Received",AND(E89&lt;&gt;"",O89=0)),"Closed",IF(AND(I89&lt;&gt;"",Settings!$B$4&gt;I89),"Late",IF(AND(H89&lt;&gt;"",Settings!$B$4&gt;H89,K89&lt;&gt;"Shipped"),"Ship overdue",IF(OR(K89="Delayed",AND(I89&lt;&gt;"",I89-Settings!$B$4&lt;=Settings!$B$5,K89&lt;&gt;"Shipped")),"At risk",IF(AND(Q89&lt;&gt;"",Q89&gt;Settings!$B$6),"Stale","On track"))))))</f>
        <v/>
      </c>
      <c r="S89" s="29" t="str">
        <f aca="false">IF(R89="","",IF(R89="Late","Ask for a new ETA and tracking number",IF(R89="Ship overdue","Ask why it hasn't shipped; get a firm ship date",IF(R89="At risk","Confirm the ship date this week",IF(R89="Stale","Request a status update",IF(R89="Closed","-","No action needed"))))))</f>
        <v/>
      </c>
      <c r="T89" s="30" t="str">
        <f aca="false">IF(OR(A89="",N89="",M89=""),"",IF(N89=0,"",M89/N89))</f>
        <v/>
      </c>
      <c r="U89" s="29" t="str">
        <f aca="false">IF(OR(T89="",I89="",R89="Closed"),"",IF(R89="Late","ETA passed: "&amp;ROUND(T89,0)&amp;" days of stock left",IF(Settings!$B$4+T89&lt;I89,"YES: "&amp;ROUND(I89-(Settings!$B$4+T89),0)&amp;" days short","No")))</f>
        <v/>
      </c>
      <c r="V89" s="31" t="str">
        <f aca="false">IF(R89="","",IF(OR(R89="Late",R89="Ship overdue",R89="Stale"),Settings!$B$4,IF(R89="At risk",Settings!$B$4+2,"")))</f>
        <v/>
      </c>
    </row>
    <row r="90" customFormat="false" ht="15" hidden="false" customHeight="false" outlineLevel="0" collapsed="false">
      <c r="A90" s="32"/>
      <c r="B90" s="32"/>
      <c r="C90" s="32"/>
      <c r="D90" s="32"/>
      <c r="E90" s="33"/>
      <c r="F90" s="33"/>
      <c r="G90" s="34"/>
      <c r="H90" s="34"/>
      <c r="I90" s="34"/>
      <c r="J90" s="34"/>
      <c r="K90" s="32"/>
      <c r="L90" s="35"/>
      <c r="M90" s="33"/>
      <c r="N90" s="33"/>
      <c r="O90" s="27" t="str">
        <f aca="false">IF(A90="","",MAX(E90-F90,0))</f>
        <v/>
      </c>
      <c r="P90" s="28" t="str">
        <f aca="false">IF(OR(A90="",I90=""),"",MAX(Settings!$B$4-I90,0))</f>
        <v/>
      </c>
      <c r="Q90" s="28" t="str">
        <f aca="false">IF(OR(A90="",J90=""),"",Settings!$B$4-J90)</f>
        <v/>
      </c>
      <c r="R90" s="29" t="str">
        <f aca="false">IF(A90="","",IF(OR(K90="Received",AND(E90&lt;&gt;"",O90=0)),"Closed",IF(AND(I90&lt;&gt;"",Settings!$B$4&gt;I90),"Late",IF(AND(H90&lt;&gt;"",Settings!$B$4&gt;H90,K90&lt;&gt;"Shipped"),"Ship overdue",IF(OR(K90="Delayed",AND(I90&lt;&gt;"",I90-Settings!$B$4&lt;=Settings!$B$5,K90&lt;&gt;"Shipped")),"At risk",IF(AND(Q90&lt;&gt;"",Q90&gt;Settings!$B$6),"Stale","On track"))))))</f>
        <v/>
      </c>
      <c r="S90" s="29" t="str">
        <f aca="false">IF(R90="","",IF(R90="Late","Ask for a new ETA and tracking number",IF(R90="Ship overdue","Ask why it hasn't shipped; get a firm ship date",IF(R90="At risk","Confirm the ship date this week",IF(R90="Stale","Request a status update",IF(R90="Closed","-","No action needed"))))))</f>
        <v/>
      </c>
      <c r="T90" s="30" t="str">
        <f aca="false">IF(OR(A90="",N90="",M90=""),"",IF(N90=0,"",M90/N90))</f>
        <v/>
      </c>
      <c r="U90" s="29" t="str">
        <f aca="false">IF(OR(T90="",I90="",R90="Closed"),"",IF(R90="Late","ETA passed: "&amp;ROUND(T90,0)&amp;" days of stock left",IF(Settings!$B$4+T90&lt;I90,"YES: "&amp;ROUND(I90-(Settings!$B$4+T90),0)&amp;" days short","No")))</f>
        <v/>
      </c>
      <c r="V90" s="31" t="str">
        <f aca="false">IF(R90="","",IF(OR(R90="Late",R90="Ship overdue",R90="Stale"),Settings!$B$4,IF(R90="At risk",Settings!$B$4+2,"")))</f>
        <v/>
      </c>
    </row>
    <row r="91" customFormat="false" ht="15" hidden="false" customHeight="false" outlineLevel="0" collapsed="false">
      <c r="A91" s="32"/>
      <c r="B91" s="32"/>
      <c r="C91" s="32"/>
      <c r="D91" s="32"/>
      <c r="E91" s="33"/>
      <c r="F91" s="33"/>
      <c r="G91" s="34"/>
      <c r="H91" s="34"/>
      <c r="I91" s="34"/>
      <c r="J91" s="34"/>
      <c r="K91" s="32"/>
      <c r="L91" s="35"/>
      <c r="M91" s="33"/>
      <c r="N91" s="33"/>
      <c r="O91" s="27" t="str">
        <f aca="false">IF(A91="","",MAX(E91-F91,0))</f>
        <v/>
      </c>
      <c r="P91" s="28" t="str">
        <f aca="false">IF(OR(A91="",I91=""),"",MAX(Settings!$B$4-I91,0))</f>
        <v/>
      </c>
      <c r="Q91" s="28" t="str">
        <f aca="false">IF(OR(A91="",J91=""),"",Settings!$B$4-J91)</f>
        <v/>
      </c>
      <c r="R91" s="29" t="str">
        <f aca="false">IF(A91="","",IF(OR(K91="Received",AND(E91&lt;&gt;"",O91=0)),"Closed",IF(AND(I91&lt;&gt;"",Settings!$B$4&gt;I91),"Late",IF(AND(H91&lt;&gt;"",Settings!$B$4&gt;H91,K91&lt;&gt;"Shipped"),"Ship overdue",IF(OR(K91="Delayed",AND(I91&lt;&gt;"",I91-Settings!$B$4&lt;=Settings!$B$5,K91&lt;&gt;"Shipped")),"At risk",IF(AND(Q91&lt;&gt;"",Q91&gt;Settings!$B$6),"Stale","On track"))))))</f>
        <v/>
      </c>
      <c r="S91" s="29" t="str">
        <f aca="false">IF(R91="","",IF(R91="Late","Ask for a new ETA and tracking number",IF(R91="Ship overdue","Ask why it hasn't shipped; get a firm ship date",IF(R91="At risk","Confirm the ship date this week",IF(R91="Stale","Request a status update",IF(R91="Closed","-","No action needed"))))))</f>
        <v/>
      </c>
      <c r="T91" s="30" t="str">
        <f aca="false">IF(OR(A91="",N91="",M91=""),"",IF(N91=0,"",M91/N91))</f>
        <v/>
      </c>
      <c r="U91" s="29" t="str">
        <f aca="false">IF(OR(T91="",I91="",R91="Closed"),"",IF(R91="Late","ETA passed: "&amp;ROUND(T91,0)&amp;" days of stock left",IF(Settings!$B$4+T91&lt;I91,"YES: "&amp;ROUND(I91-(Settings!$B$4+T91),0)&amp;" days short","No")))</f>
        <v/>
      </c>
      <c r="V91" s="31" t="str">
        <f aca="false">IF(R91="","",IF(OR(R91="Late",R91="Ship overdue",R91="Stale"),Settings!$B$4,IF(R91="At risk",Settings!$B$4+2,"")))</f>
        <v/>
      </c>
    </row>
    <row r="92" customFormat="false" ht="15" hidden="false" customHeight="false" outlineLevel="0" collapsed="false">
      <c r="A92" s="32"/>
      <c r="B92" s="32"/>
      <c r="C92" s="32"/>
      <c r="D92" s="32"/>
      <c r="E92" s="33"/>
      <c r="F92" s="33"/>
      <c r="G92" s="34"/>
      <c r="H92" s="34"/>
      <c r="I92" s="34"/>
      <c r="J92" s="34"/>
      <c r="K92" s="32"/>
      <c r="L92" s="35"/>
      <c r="M92" s="33"/>
      <c r="N92" s="33"/>
      <c r="O92" s="27" t="str">
        <f aca="false">IF(A92="","",MAX(E92-F92,0))</f>
        <v/>
      </c>
      <c r="P92" s="28" t="str">
        <f aca="false">IF(OR(A92="",I92=""),"",MAX(Settings!$B$4-I92,0))</f>
        <v/>
      </c>
      <c r="Q92" s="28" t="str">
        <f aca="false">IF(OR(A92="",J92=""),"",Settings!$B$4-J92)</f>
        <v/>
      </c>
      <c r="R92" s="29" t="str">
        <f aca="false">IF(A92="","",IF(OR(K92="Received",AND(E92&lt;&gt;"",O92=0)),"Closed",IF(AND(I92&lt;&gt;"",Settings!$B$4&gt;I92),"Late",IF(AND(H92&lt;&gt;"",Settings!$B$4&gt;H92,K92&lt;&gt;"Shipped"),"Ship overdue",IF(OR(K92="Delayed",AND(I92&lt;&gt;"",I92-Settings!$B$4&lt;=Settings!$B$5,K92&lt;&gt;"Shipped")),"At risk",IF(AND(Q92&lt;&gt;"",Q92&gt;Settings!$B$6),"Stale","On track"))))))</f>
        <v/>
      </c>
      <c r="S92" s="29" t="str">
        <f aca="false">IF(R92="","",IF(R92="Late","Ask for a new ETA and tracking number",IF(R92="Ship overdue","Ask why it hasn't shipped; get a firm ship date",IF(R92="At risk","Confirm the ship date this week",IF(R92="Stale","Request a status update",IF(R92="Closed","-","No action needed"))))))</f>
        <v/>
      </c>
      <c r="T92" s="30" t="str">
        <f aca="false">IF(OR(A92="",N92="",M92=""),"",IF(N92=0,"",M92/N92))</f>
        <v/>
      </c>
      <c r="U92" s="29" t="str">
        <f aca="false">IF(OR(T92="",I92="",R92="Closed"),"",IF(R92="Late","ETA passed: "&amp;ROUND(T92,0)&amp;" days of stock left",IF(Settings!$B$4+T92&lt;I92,"YES: "&amp;ROUND(I92-(Settings!$B$4+T92),0)&amp;" days short","No")))</f>
        <v/>
      </c>
      <c r="V92" s="31" t="str">
        <f aca="false">IF(R92="","",IF(OR(R92="Late",R92="Ship overdue",R92="Stale"),Settings!$B$4,IF(R92="At risk",Settings!$B$4+2,"")))</f>
        <v/>
      </c>
    </row>
    <row r="93" customFormat="false" ht="15" hidden="false" customHeight="false" outlineLevel="0" collapsed="false">
      <c r="A93" s="32"/>
      <c r="B93" s="32"/>
      <c r="C93" s="32"/>
      <c r="D93" s="32"/>
      <c r="E93" s="33"/>
      <c r="F93" s="33"/>
      <c r="G93" s="34"/>
      <c r="H93" s="34"/>
      <c r="I93" s="34"/>
      <c r="J93" s="34"/>
      <c r="K93" s="32"/>
      <c r="L93" s="35"/>
      <c r="M93" s="33"/>
      <c r="N93" s="33"/>
      <c r="O93" s="27" t="str">
        <f aca="false">IF(A93="","",MAX(E93-F93,0))</f>
        <v/>
      </c>
      <c r="P93" s="28" t="str">
        <f aca="false">IF(OR(A93="",I93=""),"",MAX(Settings!$B$4-I93,0))</f>
        <v/>
      </c>
      <c r="Q93" s="28" t="str">
        <f aca="false">IF(OR(A93="",J93=""),"",Settings!$B$4-J93)</f>
        <v/>
      </c>
      <c r="R93" s="29" t="str">
        <f aca="false">IF(A93="","",IF(OR(K93="Received",AND(E93&lt;&gt;"",O93=0)),"Closed",IF(AND(I93&lt;&gt;"",Settings!$B$4&gt;I93),"Late",IF(AND(H93&lt;&gt;"",Settings!$B$4&gt;H93,K93&lt;&gt;"Shipped"),"Ship overdue",IF(OR(K93="Delayed",AND(I93&lt;&gt;"",I93-Settings!$B$4&lt;=Settings!$B$5,K93&lt;&gt;"Shipped")),"At risk",IF(AND(Q93&lt;&gt;"",Q93&gt;Settings!$B$6),"Stale","On track"))))))</f>
        <v/>
      </c>
      <c r="S93" s="29" t="str">
        <f aca="false">IF(R93="","",IF(R93="Late","Ask for a new ETA and tracking number",IF(R93="Ship overdue","Ask why it hasn't shipped; get a firm ship date",IF(R93="At risk","Confirm the ship date this week",IF(R93="Stale","Request a status update",IF(R93="Closed","-","No action needed"))))))</f>
        <v/>
      </c>
      <c r="T93" s="30" t="str">
        <f aca="false">IF(OR(A93="",N93="",M93=""),"",IF(N93=0,"",M93/N93))</f>
        <v/>
      </c>
      <c r="U93" s="29" t="str">
        <f aca="false">IF(OR(T93="",I93="",R93="Closed"),"",IF(R93="Late","ETA passed: "&amp;ROUND(T93,0)&amp;" days of stock left",IF(Settings!$B$4+T93&lt;I93,"YES: "&amp;ROUND(I93-(Settings!$B$4+T93),0)&amp;" days short","No")))</f>
        <v/>
      </c>
      <c r="V93" s="31" t="str">
        <f aca="false">IF(R93="","",IF(OR(R93="Late",R93="Ship overdue",R93="Stale"),Settings!$B$4,IF(R93="At risk",Settings!$B$4+2,"")))</f>
        <v/>
      </c>
    </row>
    <row r="94" customFormat="false" ht="15" hidden="false" customHeight="false" outlineLevel="0" collapsed="false">
      <c r="A94" s="32"/>
      <c r="B94" s="32"/>
      <c r="C94" s="32"/>
      <c r="D94" s="32"/>
      <c r="E94" s="33"/>
      <c r="F94" s="33"/>
      <c r="G94" s="34"/>
      <c r="H94" s="34"/>
      <c r="I94" s="34"/>
      <c r="J94" s="34"/>
      <c r="K94" s="32"/>
      <c r="L94" s="35"/>
      <c r="M94" s="33"/>
      <c r="N94" s="33"/>
      <c r="O94" s="27" t="str">
        <f aca="false">IF(A94="","",MAX(E94-F94,0))</f>
        <v/>
      </c>
      <c r="P94" s="28" t="str">
        <f aca="false">IF(OR(A94="",I94=""),"",MAX(Settings!$B$4-I94,0))</f>
        <v/>
      </c>
      <c r="Q94" s="28" t="str">
        <f aca="false">IF(OR(A94="",J94=""),"",Settings!$B$4-J94)</f>
        <v/>
      </c>
      <c r="R94" s="29" t="str">
        <f aca="false">IF(A94="","",IF(OR(K94="Received",AND(E94&lt;&gt;"",O94=0)),"Closed",IF(AND(I94&lt;&gt;"",Settings!$B$4&gt;I94),"Late",IF(AND(H94&lt;&gt;"",Settings!$B$4&gt;H94,K94&lt;&gt;"Shipped"),"Ship overdue",IF(OR(K94="Delayed",AND(I94&lt;&gt;"",I94-Settings!$B$4&lt;=Settings!$B$5,K94&lt;&gt;"Shipped")),"At risk",IF(AND(Q94&lt;&gt;"",Q94&gt;Settings!$B$6),"Stale","On track"))))))</f>
        <v/>
      </c>
      <c r="S94" s="29" t="str">
        <f aca="false">IF(R94="","",IF(R94="Late","Ask for a new ETA and tracking number",IF(R94="Ship overdue","Ask why it hasn't shipped; get a firm ship date",IF(R94="At risk","Confirm the ship date this week",IF(R94="Stale","Request a status update",IF(R94="Closed","-","No action needed"))))))</f>
        <v/>
      </c>
      <c r="T94" s="30" t="str">
        <f aca="false">IF(OR(A94="",N94="",M94=""),"",IF(N94=0,"",M94/N94))</f>
        <v/>
      </c>
      <c r="U94" s="29" t="str">
        <f aca="false">IF(OR(T94="",I94="",R94="Closed"),"",IF(R94="Late","ETA passed: "&amp;ROUND(T94,0)&amp;" days of stock left",IF(Settings!$B$4+T94&lt;I94,"YES: "&amp;ROUND(I94-(Settings!$B$4+T94),0)&amp;" days short","No")))</f>
        <v/>
      </c>
      <c r="V94" s="31" t="str">
        <f aca="false">IF(R94="","",IF(OR(R94="Late",R94="Ship overdue",R94="Stale"),Settings!$B$4,IF(R94="At risk",Settings!$B$4+2,"")))</f>
        <v/>
      </c>
    </row>
    <row r="95" customFormat="false" ht="15" hidden="false" customHeight="false" outlineLevel="0" collapsed="false">
      <c r="A95" s="32"/>
      <c r="B95" s="32"/>
      <c r="C95" s="32"/>
      <c r="D95" s="32"/>
      <c r="E95" s="33"/>
      <c r="F95" s="33"/>
      <c r="G95" s="34"/>
      <c r="H95" s="34"/>
      <c r="I95" s="34"/>
      <c r="J95" s="34"/>
      <c r="K95" s="32"/>
      <c r="L95" s="35"/>
      <c r="M95" s="33"/>
      <c r="N95" s="33"/>
      <c r="O95" s="27" t="str">
        <f aca="false">IF(A95="","",MAX(E95-F95,0))</f>
        <v/>
      </c>
      <c r="P95" s="28" t="str">
        <f aca="false">IF(OR(A95="",I95=""),"",MAX(Settings!$B$4-I95,0))</f>
        <v/>
      </c>
      <c r="Q95" s="28" t="str">
        <f aca="false">IF(OR(A95="",J95=""),"",Settings!$B$4-J95)</f>
        <v/>
      </c>
      <c r="R95" s="29" t="str">
        <f aca="false">IF(A95="","",IF(OR(K95="Received",AND(E95&lt;&gt;"",O95=0)),"Closed",IF(AND(I95&lt;&gt;"",Settings!$B$4&gt;I95),"Late",IF(AND(H95&lt;&gt;"",Settings!$B$4&gt;H95,K95&lt;&gt;"Shipped"),"Ship overdue",IF(OR(K95="Delayed",AND(I95&lt;&gt;"",I95-Settings!$B$4&lt;=Settings!$B$5,K95&lt;&gt;"Shipped")),"At risk",IF(AND(Q95&lt;&gt;"",Q95&gt;Settings!$B$6),"Stale","On track"))))))</f>
        <v/>
      </c>
      <c r="S95" s="29" t="str">
        <f aca="false">IF(R95="","",IF(R95="Late","Ask for a new ETA and tracking number",IF(R95="Ship overdue","Ask why it hasn't shipped; get a firm ship date",IF(R95="At risk","Confirm the ship date this week",IF(R95="Stale","Request a status update",IF(R95="Closed","-","No action needed"))))))</f>
        <v/>
      </c>
      <c r="T95" s="30" t="str">
        <f aca="false">IF(OR(A95="",N95="",M95=""),"",IF(N95=0,"",M95/N95))</f>
        <v/>
      </c>
      <c r="U95" s="29" t="str">
        <f aca="false">IF(OR(T95="",I95="",R95="Closed"),"",IF(R95="Late","ETA passed: "&amp;ROUND(T95,0)&amp;" days of stock left",IF(Settings!$B$4+T95&lt;I95,"YES: "&amp;ROUND(I95-(Settings!$B$4+T95),0)&amp;" days short","No")))</f>
        <v/>
      </c>
      <c r="V95" s="31" t="str">
        <f aca="false">IF(R95="","",IF(OR(R95="Late",R95="Ship overdue",R95="Stale"),Settings!$B$4,IF(R95="At risk",Settings!$B$4+2,"")))</f>
        <v/>
      </c>
    </row>
    <row r="96" customFormat="false" ht="15" hidden="false" customHeight="false" outlineLevel="0" collapsed="false">
      <c r="A96" s="32"/>
      <c r="B96" s="32"/>
      <c r="C96" s="32"/>
      <c r="D96" s="32"/>
      <c r="E96" s="33"/>
      <c r="F96" s="33"/>
      <c r="G96" s="34"/>
      <c r="H96" s="34"/>
      <c r="I96" s="34"/>
      <c r="J96" s="34"/>
      <c r="K96" s="32"/>
      <c r="L96" s="35"/>
      <c r="M96" s="33"/>
      <c r="N96" s="33"/>
      <c r="O96" s="27" t="str">
        <f aca="false">IF(A96="","",MAX(E96-F96,0))</f>
        <v/>
      </c>
      <c r="P96" s="28" t="str">
        <f aca="false">IF(OR(A96="",I96=""),"",MAX(Settings!$B$4-I96,0))</f>
        <v/>
      </c>
      <c r="Q96" s="28" t="str">
        <f aca="false">IF(OR(A96="",J96=""),"",Settings!$B$4-J96)</f>
        <v/>
      </c>
      <c r="R96" s="29" t="str">
        <f aca="false">IF(A96="","",IF(OR(K96="Received",AND(E96&lt;&gt;"",O96=0)),"Closed",IF(AND(I96&lt;&gt;"",Settings!$B$4&gt;I96),"Late",IF(AND(H96&lt;&gt;"",Settings!$B$4&gt;H96,K96&lt;&gt;"Shipped"),"Ship overdue",IF(OR(K96="Delayed",AND(I96&lt;&gt;"",I96-Settings!$B$4&lt;=Settings!$B$5,K96&lt;&gt;"Shipped")),"At risk",IF(AND(Q96&lt;&gt;"",Q96&gt;Settings!$B$6),"Stale","On track"))))))</f>
        <v/>
      </c>
      <c r="S96" s="29" t="str">
        <f aca="false">IF(R96="","",IF(R96="Late","Ask for a new ETA and tracking number",IF(R96="Ship overdue","Ask why it hasn't shipped; get a firm ship date",IF(R96="At risk","Confirm the ship date this week",IF(R96="Stale","Request a status update",IF(R96="Closed","-","No action needed"))))))</f>
        <v/>
      </c>
      <c r="T96" s="30" t="str">
        <f aca="false">IF(OR(A96="",N96="",M96=""),"",IF(N96=0,"",M96/N96))</f>
        <v/>
      </c>
      <c r="U96" s="29" t="str">
        <f aca="false">IF(OR(T96="",I96="",R96="Closed"),"",IF(R96="Late","ETA passed: "&amp;ROUND(T96,0)&amp;" days of stock left",IF(Settings!$B$4+T96&lt;I96,"YES: "&amp;ROUND(I96-(Settings!$B$4+T96),0)&amp;" days short","No")))</f>
        <v/>
      </c>
      <c r="V96" s="31" t="str">
        <f aca="false">IF(R96="","",IF(OR(R96="Late",R96="Ship overdue",R96="Stale"),Settings!$B$4,IF(R96="At risk",Settings!$B$4+2,"")))</f>
        <v/>
      </c>
    </row>
    <row r="97" customFormat="false" ht="15" hidden="false" customHeight="false" outlineLevel="0" collapsed="false">
      <c r="A97" s="32"/>
      <c r="B97" s="32"/>
      <c r="C97" s="32"/>
      <c r="D97" s="32"/>
      <c r="E97" s="33"/>
      <c r="F97" s="33"/>
      <c r="G97" s="34"/>
      <c r="H97" s="34"/>
      <c r="I97" s="34"/>
      <c r="J97" s="34"/>
      <c r="K97" s="32"/>
      <c r="L97" s="35"/>
      <c r="M97" s="33"/>
      <c r="N97" s="33"/>
      <c r="O97" s="27" t="str">
        <f aca="false">IF(A97="","",MAX(E97-F97,0))</f>
        <v/>
      </c>
      <c r="P97" s="28" t="str">
        <f aca="false">IF(OR(A97="",I97=""),"",MAX(Settings!$B$4-I97,0))</f>
        <v/>
      </c>
      <c r="Q97" s="28" t="str">
        <f aca="false">IF(OR(A97="",J97=""),"",Settings!$B$4-J97)</f>
        <v/>
      </c>
      <c r="R97" s="29" t="str">
        <f aca="false">IF(A97="","",IF(OR(K97="Received",AND(E97&lt;&gt;"",O97=0)),"Closed",IF(AND(I97&lt;&gt;"",Settings!$B$4&gt;I97),"Late",IF(AND(H97&lt;&gt;"",Settings!$B$4&gt;H97,K97&lt;&gt;"Shipped"),"Ship overdue",IF(OR(K97="Delayed",AND(I97&lt;&gt;"",I97-Settings!$B$4&lt;=Settings!$B$5,K97&lt;&gt;"Shipped")),"At risk",IF(AND(Q97&lt;&gt;"",Q97&gt;Settings!$B$6),"Stale","On track"))))))</f>
        <v/>
      </c>
      <c r="S97" s="29" t="str">
        <f aca="false">IF(R97="","",IF(R97="Late","Ask for a new ETA and tracking number",IF(R97="Ship overdue","Ask why it hasn't shipped; get a firm ship date",IF(R97="At risk","Confirm the ship date this week",IF(R97="Stale","Request a status update",IF(R97="Closed","-","No action needed"))))))</f>
        <v/>
      </c>
      <c r="T97" s="30" t="str">
        <f aca="false">IF(OR(A97="",N97="",M97=""),"",IF(N97=0,"",M97/N97))</f>
        <v/>
      </c>
      <c r="U97" s="29" t="str">
        <f aca="false">IF(OR(T97="",I97="",R97="Closed"),"",IF(R97="Late","ETA passed: "&amp;ROUND(T97,0)&amp;" days of stock left",IF(Settings!$B$4+T97&lt;I97,"YES: "&amp;ROUND(I97-(Settings!$B$4+T97),0)&amp;" days short","No")))</f>
        <v/>
      </c>
      <c r="V97" s="31" t="str">
        <f aca="false">IF(R97="","",IF(OR(R97="Late",R97="Ship overdue",R97="Stale"),Settings!$B$4,IF(R97="At risk",Settings!$B$4+2,"")))</f>
        <v/>
      </c>
    </row>
    <row r="98" customFormat="false" ht="15" hidden="false" customHeight="false" outlineLevel="0" collapsed="false">
      <c r="A98" s="32"/>
      <c r="B98" s="32"/>
      <c r="C98" s="32"/>
      <c r="D98" s="32"/>
      <c r="E98" s="33"/>
      <c r="F98" s="33"/>
      <c r="G98" s="34"/>
      <c r="H98" s="34"/>
      <c r="I98" s="34"/>
      <c r="J98" s="34"/>
      <c r="K98" s="32"/>
      <c r="L98" s="35"/>
      <c r="M98" s="33"/>
      <c r="N98" s="33"/>
      <c r="O98" s="27" t="str">
        <f aca="false">IF(A98="","",MAX(E98-F98,0))</f>
        <v/>
      </c>
      <c r="P98" s="28" t="str">
        <f aca="false">IF(OR(A98="",I98=""),"",MAX(Settings!$B$4-I98,0))</f>
        <v/>
      </c>
      <c r="Q98" s="28" t="str">
        <f aca="false">IF(OR(A98="",J98=""),"",Settings!$B$4-J98)</f>
        <v/>
      </c>
      <c r="R98" s="29" t="str">
        <f aca="false">IF(A98="","",IF(OR(K98="Received",AND(E98&lt;&gt;"",O98=0)),"Closed",IF(AND(I98&lt;&gt;"",Settings!$B$4&gt;I98),"Late",IF(AND(H98&lt;&gt;"",Settings!$B$4&gt;H98,K98&lt;&gt;"Shipped"),"Ship overdue",IF(OR(K98="Delayed",AND(I98&lt;&gt;"",I98-Settings!$B$4&lt;=Settings!$B$5,K98&lt;&gt;"Shipped")),"At risk",IF(AND(Q98&lt;&gt;"",Q98&gt;Settings!$B$6),"Stale","On track"))))))</f>
        <v/>
      </c>
      <c r="S98" s="29" t="str">
        <f aca="false">IF(R98="","",IF(R98="Late","Ask for a new ETA and tracking number",IF(R98="Ship overdue","Ask why it hasn't shipped; get a firm ship date",IF(R98="At risk","Confirm the ship date this week",IF(R98="Stale","Request a status update",IF(R98="Closed","-","No action needed"))))))</f>
        <v/>
      </c>
      <c r="T98" s="30" t="str">
        <f aca="false">IF(OR(A98="",N98="",M98=""),"",IF(N98=0,"",M98/N98))</f>
        <v/>
      </c>
      <c r="U98" s="29" t="str">
        <f aca="false">IF(OR(T98="",I98="",R98="Closed"),"",IF(R98="Late","ETA passed: "&amp;ROUND(T98,0)&amp;" days of stock left",IF(Settings!$B$4+T98&lt;I98,"YES: "&amp;ROUND(I98-(Settings!$B$4+T98),0)&amp;" days short","No")))</f>
        <v/>
      </c>
      <c r="V98" s="31" t="str">
        <f aca="false">IF(R98="","",IF(OR(R98="Late",R98="Ship overdue",R98="Stale"),Settings!$B$4,IF(R98="At risk",Settings!$B$4+2,"")))</f>
        <v/>
      </c>
    </row>
    <row r="99" customFormat="false" ht="15" hidden="false" customHeight="false" outlineLevel="0" collapsed="false">
      <c r="A99" s="32"/>
      <c r="B99" s="32"/>
      <c r="C99" s="32"/>
      <c r="D99" s="32"/>
      <c r="E99" s="33"/>
      <c r="F99" s="33"/>
      <c r="G99" s="34"/>
      <c r="H99" s="34"/>
      <c r="I99" s="34"/>
      <c r="J99" s="34"/>
      <c r="K99" s="32"/>
      <c r="L99" s="35"/>
      <c r="M99" s="33"/>
      <c r="N99" s="33"/>
      <c r="O99" s="27" t="str">
        <f aca="false">IF(A99="","",MAX(E99-F99,0))</f>
        <v/>
      </c>
      <c r="P99" s="28" t="str">
        <f aca="false">IF(OR(A99="",I99=""),"",MAX(Settings!$B$4-I99,0))</f>
        <v/>
      </c>
      <c r="Q99" s="28" t="str">
        <f aca="false">IF(OR(A99="",J99=""),"",Settings!$B$4-J99)</f>
        <v/>
      </c>
      <c r="R99" s="29" t="str">
        <f aca="false">IF(A99="","",IF(OR(K99="Received",AND(E99&lt;&gt;"",O99=0)),"Closed",IF(AND(I99&lt;&gt;"",Settings!$B$4&gt;I99),"Late",IF(AND(H99&lt;&gt;"",Settings!$B$4&gt;H99,K99&lt;&gt;"Shipped"),"Ship overdue",IF(OR(K99="Delayed",AND(I99&lt;&gt;"",I99-Settings!$B$4&lt;=Settings!$B$5,K99&lt;&gt;"Shipped")),"At risk",IF(AND(Q99&lt;&gt;"",Q99&gt;Settings!$B$6),"Stale","On track"))))))</f>
        <v/>
      </c>
      <c r="S99" s="29" t="str">
        <f aca="false">IF(R99="","",IF(R99="Late","Ask for a new ETA and tracking number",IF(R99="Ship overdue","Ask why it hasn't shipped; get a firm ship date",IF(R99="At risk","Confirm the ship date this week",IF(R99="Stale","Request a status update",IF(R99="Closed","-","No action needed"))))))</f>
        <v/>
      </c>
      <c r="T99" s="30" t="str">
        <f aca="false">IF(OR(A99="",N99="",M99=""),"",IF(N99=0,"",M99/N99))</f>
        <v/>
      </c>
      <c r="U99" s="29" t="str">
        <f aca="false">IF(OR(T99="",I99="",R99="Closed"),"",IF(R99="Late","ETA passed: "&amp;ROUND(T99,0)&amp;" days of stock left",IF(Settings!$B$4+T99&lt;I99,"YES: "&amp;ROUND(I99-(Settings!$B$4+T99),0)&amp;" days short","No")))</f>
        <v/>
      </c>
      <c r="V99" s="31" t="str">
        <f aca="false">IF(R99="","",IF(OR(R99="Late",R99="Ship overdue",R99="Stale"),Settings!$B$4,IF(R99="At risk",Settings!$B$4+2,"")))</f>
        <v/>
      </c>
    </row>
    <row r="100" customFormat="false" ht="15" hidden="false" customHeight="false" outlineLevel="0" collapsed="false">
      <c r="A100" s="32"/>
      <c r="B100" s="32"/>
      <c r="C100" s="32"/>
      <c r="D100" s="32"/>
      <c r="E100" s="33"/>
      <c r="F100" s="33"/>
      <c r="G100" s="34"/>
      <c r="H100" s="34"/>
      <c r="I100" s="34"/>
      <c r="J100" s="34"/>
      <c r="K100" s="32"/>
      <c r="L100" s="35"/>
      <c r="M100" s="33"/>
      <c r="N100" s="33"/>
      <c r="O100" s="27" t="str">
        <f aca="false">IF(A100="","",MAX(E100-F100,0))</f>
        <v/>
      </c>
      <c r="P100" s="28" t="str">
        <f aca="false">IF(OR(A100="",I100=""),"",MAX(Settings!$B$4-I100,0))</f>
        <v/>
      </c>
      <c r="Q100" s="28" t="str">
        <f aca="false">IF(OR(A100="",J100=""),"",Settings!$B$4-J100)</f>
        <v/>
      </c>
      <c r="R100" s="29" t="str">
        <f aca="false">IF(A100="","",IF(OR(K100="Received",AND(E100&lt;&gt;"",O100=0)),"Closed",IF(AND(I100&lt;&gt;"",Settings!$B$4&gt;I100),"Late",IF(AND(H100&lt;&gt;"",Settings!$B$4&gt;H100,K100&lt;&gt;"Shipped"),"Ship overdue",IF(OR(K100="Delayed",AND(I100&lt;&gt;"",I100-Settings!$B$4&lt;=Settings!$B$5,K100&lt;&gt;"Shipped")),"At risk",IF(AND(Q100&lt;&gt;"",Q100&gt;Settings!$B$6),"Stale","On track"))))))</f>
        <v/>
      </c>
      <c r="S100" s="29" t="str">
        <f aca="false">IF(R100="","",IF(R100="Late","Ask for a new ETA and tracking number",IF(R100="Ship overdue","Ask why it hasn't shipped; get a firm ship date",IF(R100="At risk","Confirm the ship date this week",IF(R100="Stale","Request a status update",IF(R100="Closed","-","No action needed"))))))</f>
        <v/>
      </c>
      <c r="T100" s="30" t="str">
        <f aca="false">IF(OR(A100="",N100="",M100=""),"",IF(N100=0,"",M100/N100))</f>
        <v/>
      </c>
      <c r="U100" s="29" t="str">
        <f aca="false">IF(OR(T100="",I100="",R100="Closed"),"",IF(R100="Late","ETA passed: "&amp;ROUND(T100,0)&amp;" days of stock left",IF(Settings!$B$4+T100&lt;I100,"YES: "&amp;ROUND(I100-(Settings!$B$4+T100),0)&amp;" days short","No")))</f>
        <v/>
      </c>
      <c r="V100" s="31" t="str">
        <f aca="false">IF(R100="","",IF(OR(R100="Late",R100="Ship overdue",R100="Stale"),Settings!$B$4,IF(R100="At risk",Settings!$B$4+2,"")))</f>
        <v/>
      </c>
    </row>
    <row r="101" customFormat="false" ht="15" hidden="false" customHeight="false" outlineLevel="0" collapsed="false">
      <c r="A101" s="32"/>
      <c r="B101" s="32"/>
      <c r="C101" s="32"/>
      <c r="D101" s="32"/>
      <c r="E101" s="33"/>
      <c r="F101" s="33"/>
      <c r="G101" s="34"/>
      <c r="H101" s="34"/>
      <c r="I101" s="34"/>
      <c r="J101" s="34"/>
      <c r="K101" s="32"/>
      <c r="L101" s="35"/>
      <c r="M101" s="33"/>
      <c r="N101" s="33"/>
      <c r="O101" s="27" t="str">
        <f aca="false">IF(A101="","",MAX(E101-F101,0))</f>
        <v/>
      </c>
      <c r="P101" s="28" t="str">
        <f aca="false">IF(OR(A101="",I101=""),"",MAX(Settings!$B$4-I101,0))</f>
        <v/>
      </c>
      <c r="Q101" s="28" t="str">
        <f aca="false">IF(OR(A101="",J101=""),"",Settings!$B$4-J101)</f>
        <v/>
      </c>
      <c r="R101" s="29" t="str">
        <f aca="false">IF(A101="","",IF(OR(K101="Received",AND(E101&lt;&gt;"",O101=0)),"Closed",IF(AND(I101&lt;&gt;"",Settings!$B$4&gt;I101),"Late",IF(AND(H101&lt;&gt;"",Settings!$B$4&gt;H101,K101&lt;&gt;"Shipped"),"Ship overdue",IF(OR(K101="Delayed",AND(I101&lt;&gt;"",I101-Settings!$B$4&lt;=Settings!$B$5,K101&lt;&gt;"Shipped")),"At risk",IF(AND(Q101&lt;&gt;"",Q101&gt;Settings!$B$6),"Stale","On track"))))))</f>
        <v/>
      </c>
      <c r="S101" s="29" t="str">
        <f aca="false">IF(R101="","",IF(R101="Late","Ask for a new ETA and tracking number",IF(R101="Ship overdue","Ask why it hasn't shipped; get a firm ship date",IF(R101="At risk","Confirm the ship date this week",IF(R101="Stale","Request a status update",IF(R101="Closed","-","No action needed"))))))</f>
        <v/>
      </c>
      <c r="T101" s="30" t="str">
        <f aca="false">IF(OR(A101="",N101="",M101=""),"",IF(N101=0,"",M101/N101))</f>
        <v/>
      </c>
      <c r="U101" s="29" t="str">
        <f aca="false">IF(OR(T101="",I101="",R101="Closed"),"",IF(R101="Late","ETA passed: "&amp;ROUND(T101,0)&amp;" days of stock left",IF(Settings!$B$4+T101&lt;I101,"YES: "&amp;ROUND(I101-(Settings!$B$4+T101),0)&amp;" days short","No")))</f>
        <v/>
      </c>
      <c r="V101" s="31" t="str">
        <f aca="false">IF(R101="","",IF(OR(R101="Late",R101="Ship overdue",R101="Stale"),Settings!$B$4,IF(R101="At risk",Settings!$B$4+2,"")))</f>
        <v/>
      </c>
    </row>
    <row r="102" customFormat="false" ht="15" hidden="false" customHeight="false" outlineLevel="0" collapsed="false">
      <c r="A102" s="32"/>
      <c r="B102" s="32"/>
      <c r="C102" s="32"/>
      <c r="D102" s="32"/>
      <c r="E102" s="33"/>
      <c r="F102" s="33"/>
      <c r="G102" s="34"/>
      <c r="H102" s="34"/>
      <c r="I102" s="34"/>
      <c r="J102" s="34"/>
      <c r="K102" s="32"/>
      <c r="L102" s="35"/>
      <c r="M102" s="33"/>
      <c r="N102" s="33"/>
      <c r="O102" s="27" t="str">
        <f aca="false">IF(A102="","",MAX(E102-F102,0))</f>
        <v/>
      </c>
      <c r="P102" s="28" t="str">
        <f aca="false">IF(OR(A102="",I102=""),"",MAX(Settings!$B$4-I102,0))</f>
        <v/>
      </c>
      <c r="Q102" s="28" t="str">
        <f aca="false">IF(OR(A102="",J102=""),"",Settings!$B$4-J102)</f>
        <v/>
      </c>
      <c r="R102" s="29" t="str">
        <f aca="false">IF(A102="","",IF(OR(K102="Received",AND(E102&lt;&gt;"",O102=0)),"Closed",IF(AND(I102&lt;&gt;"",Settings!$B$4&gt;I102),"Late",IF(AND(H102&lt;&gt;"",Settings!$B$4&gt;H102,K102&lt;&gt;"Shipped"),"Ship overdue",IF(OR(K102="Delayed",AND(I102&lt;&gt;"",I102-Settings!$B$4&lt;=Settings!$B$5,K102&lt;&gt;"Shipped")),"At risk",IF(AND(Q102&lt;&gt;"",Q102&gt;Settings!$B$6),"Stale","On track"))))))</f>
        <v/>
      </c>
      <c r="S102" s="29" t="str">
        <f aca="false">IF(R102="","",IF(R102="Late","Ask for a new ETA and tracking number",IF(R102="Ship overdue","Ask why it hasn't shipped; get a firm ship date",IF(R102="At risk","Confirm the ship date this week",IF(R102="Stale","Request a status update",IF(R102="Closed","-","No action needed"))))))</f>
        <v/>
      </c>
      <c r="T102" s="30" t="str">
        <f aca="false">IF(OR(A102="",N102="",M102=""),"",IF(N102=0,"",M102/N102))</f>
        <v/>
      </c>
      <c r="U102" s="29" t="str">
        <f aca="false">IF(OR(T102="",I102="",R102="Closed"),"",IF(R102="Late","ETA passed: "&amp;ROUND(T102,0)&amp;" days of stock left",IF(Settings!$B$4+T102&lt;I102,"YES: "&amp;ROUND(I102-(Settings!$B$4+T102),0)&amp;" days short","No")))</f>
        <v/>
      </c>
      <c r="V102" s="31" t="str">
        <f aca="false">IF(R102="","",IF(OR(R102="Late",R102="Ship overdue",R102="Stale"),Settings!$B$4,IF(R102="At risk",Settings!$B$4+2,"")))</f>
        <v/>
      </c>
    </row>
    <row r="103" customFormat="false" ht="15" hidden="false" customHeight="false" outlineLevel="0" collapsed="false">
      <c r="A103" s="32"/>
      <c r="B103" s="32"/>
      <c r="C103" s="32"/>
      <c r="D103" s="32"/>
      <c r="E103" s="33"/>
      <c r="F103" s="33"/>
      <c r="G103" s="34"/>
      <c r="H103" s="34"/>
      <c r="I103" s="34"/>
      <c r="J103" s="34"/>
      <c r="K103" s="32"/>
      <c r="L103" s="35"/>
      <c r="M103" s="33"/>
      <c r="N103" s="33"/>
      <c r="O103" s="27" t="str">
        <f aca="false">IF(A103="","",MAX(E103-F103,0))</f>
        <v/>
      </c>
      <c r="P103" s="28" t="str">
        <f aca="false">IF(OR(A103="",I103=""),"",MAX(Settings!$B$4-I103,0))</f>
        <v/>
      </c>
      <c r="Q103" s="28" t="str">
        <f aca="false">IF(OR(A103="",J103=""),"",Settings!$B$4-J103)</f>
        <v/>
      </c>
      <c r="R103" s="29" t="str">
        <f aca="false">IF(A103="","",IF(OR(K103="Received",AND(E103&lt;&gt;"",O103=0)),"Closed",IF(AND(I103&lt;&gt;"",Settings!$B$4&gt;I103),"Late",IF(AND(H103&lt;&gt;"",Settings!$B$4&gt;H103,K103&lt;&gt;"Shipped"),"Ship overdue",IF(OR(K103="Delayed",AND(I103&lt;&gt;"",I103-Settings!$B$4&lt;=Settings!$B$5,K103&lt;&gt;"Shipped")),"At risk",IF(AND(Q103&lt;&gt;"",Q103&gt;Settings!$B$6),"Stale","On track"))))))</f>
        <v/>
      </c>
      <c r="S103" s="29" t="str">
        <f aca="false">IF(R103="","",IF(R103="Late","Ask for a new ETA and tracking number",IF(R103="Ship overdue","Ask why it hasn't shipped; get a firm ship date",IF(R103="At risk","Confirm the ship date this week",IF(R103="Stale","Request a status update",IF(R103="Closed","-","No action needed"))))))</f>
        <v/>
      </c>
      <c r="T103" s="30" t="str">
        <f aca="false">IF(OR(A103="",N103="",M103=""),"",IF(N103=0,"",M103/N103))</f>
        <v/>
      </c>
      <c r="U103" s="29" t="str">
        <f aca="false">IF(OR(T103="",I103="",R103="Closed"),"",IF(R103="Late","ETA passed: "&amp;ROUND(T103,0)&amp;" days of stock left",IF(Settings!$B$4+T103&lt;I103,"YES: "&amp;ROUND(I103-(Settings!$B$4+T103),0)&amp;" days short","No")))</f>
        <v/>
      </c>
      <c r="V103" s="31" t="str">
        <f aca="false">IF(R103="","",IF(OR(R103="Late",R103="Ship overdue",R103="Stale"),Settings!$B$4,IF(R103="At risk",Settings!$B$4+2,"")))</f>
        <v/>
      </c>
    </row>
    <row r="104" customFormat="false" ht="15" hidden="false" customHeight="false" outlineLevel="0" collapsed="false">
      <c r="A104" s="32"/>
      <c r="B104" s="32"/>
      <c r="C104" s="32"/>
      <c r="D104" s="32"/>
      <c r="E104" s="33"/>
      <c r="F104" s="33"/>
      <c r="G104" s="34"/>
      <c r="H104" s="34"/>
      <c r="I104" s="34"/>
      <c r="J104" s="34"/>
      <c r="K104" s="32"/>
      <c r="L104" s="35"/>
      <c r="M104" s="33"/>
      <c r="N104" s="33"/>
      <c r="O104" s="27" t="str">
        <f aca="false">IF(A104="","",MAX(E104-F104,0))</f>
        <v/>
      </c>
      <c r="P104" s="28" t="str">
        <f aca="false">IF(OR(A104="",I104=""),"",MAX(Settings!$B$4-I104,0))</f>
        <v/>
      </c>
      <c r="Q104" s="28" t="str">
        <f aca="false">IF(OR(A104="",J104=""),"",Settings!$B$4-J104)</f>
        <v/>
      </c>
      <c r="R104" s="29" t="str">
        <f aca="false">IF(A104="","",IF(OR(K104="Received",AND(E104&lt;&gt;"",O104=0)),"Closed",IF(AND(I104&lt;&gt;"",Settings!$B$4&gt;I104),"Late",IF(AND(H104&lt;&gt;"",Settings!$B$4&gt;H104,K104&lt;&gt;"Shipped"),"Ship overdue",IF(OR(K104="Delayed",AND(I104&lt;&gt;"",I104-Settings!$B$4&lt;=Settings!$B$5,K104&lt;&gt;"Shipped")),"At risk",IF(AND(Q104&lt;&gt;"",Q104&gt;Settings!$B$6),"Stale","On track"))))))</f>
        <v/>
      </c>
      <c r="S104" s="29" t="str">
        <f aca="false">IF(R104="","",IF(R104="Late","Ask for a new ETA and tracking number",IF(R104="Ship overdue","Ask why it hasn't shipped; get a firm ship date",IF(R104="At risk","Confirm the ship date this week",IF(R104="Stale","Request a status update",IF(R104="Closed","-","No action needed"))))))</f>
        <v/>
      </c>
      <c r="T104" s="30" t="str">
        <f aca="false">IF(OR(A104="",N104="",M104=""),"",IF(N104=0,"",M104/N104))</f>
        <v/>
      </c>
      <c r="U104" s="29" t="str">
        <f aca="false">IF(OR(T104="",I104="",R104="Closed"),"",IF(R104="Late","ETA passed: "&amp;ROUND(T104,0)&amp;" days of stock left",IF(Settings!$B$4+T104&lt;I104,"YES: "&amp;ROUND(I104-(Settings!$B$4+T104),0)&amp;" days short","No")))</f>
        <v/>
      </c>
      <c r="V104" s="31" t="str">
        <f aca="false">IF(R104="","",IF(OR(R104="Late",R104="Ship overdue",R104="Stale"),Settings!$B$4,IF(R104="At risk",Settings!$B$4+2,"")))</f>
        <v/>
      </c>
    </row>
    <row r="105" customFormat="false" ht="15" hidden="false" customHeight="false" outlineLevel="0" collapsed="false">
      <c r="A105" s="32"/>
      <c r="B105" s="32"/>
      <c r="C105" s="32"/>
      <c r="D105" s="32"/>
      <c r="E105" s="33"/>
      <c r="F105" s="33"/>
      <c r="G105" s="34"/>
      <c r="H105" s="34"/>
      <c r="I105" s="34"/>
      <c r="J105" s="34"/>
      <c r="K105" s="32"/>
      <c r="L105" s="35"/>
      <c r="M105" s="33"/>
      <c r="N105" s="33"/>
      <c r="O105" s="27" t="str">
        <f aca="false">IF(A105="","",MAX(E105-F105,0))</f>
        <v/>
      </c>
      <c r="P105" s="28" t="str">
        <f aca="false">IF(OR(A105="",I105=""),"",MAX(Settings!$B$4-I105,0))</f>
        <v/>
      </c>
      <c r="Q105" s="28" t="str">
        <f aca="false">IF(OR(A105="",J105=""),"",Settings!$B$4-J105)</f>
        <v/>
      </c>
      <c r="R105" s="29" t="str">
        <f aca="false">IF(A105="","",IF(OR(K105="Received",AND(E105&lt;&gt;"",O105=0)),"Closed",IF(AND(I105&lt;&gt;"",Settings!$B$4&gt;I105),"Late",IF(AND(H105&lt;&gt;"",Settings!$B$4&gt;H105,K105&lt;&gt;"Shipped"),"Ship overdue",IF(OR(K105="Delayed",AND(I105&lt;&gt;"",I105-Settings!$B$4&lt;=Settings!$B$5,K105&lt;&gt;"Shipped")),"At risk",IF(AND(Q105&lt;&gt;"",Q105&gt;Settings!$B$6),"Stale","On track"))))))</f>
        <v/>
      </c>
      <c r="S105" s="29" t="str">
        <f aca="false">IF(R105="","",IF(R105="Late","Ask for a new ETA and tracking number",IF(R105="Ship overdue","Ask why it hasn't shipped; get a firm ship date",IF(R105="At risk","Confirm the ship date this week",IF(R105="Stale","Request a status update",IF(R105="Closed","-","No action needed"))))))</f>
        <v/>
      </c>
      <c r="T105" s="30" t="str">
        <f aca="false">IF(OR(A105="",N105="",M105=""),"",IF(N105=0,"",M105/N105))</f>
        <v/>
      </c>
      <c r="U105" s="29" t="str">
        <f aca="false">IF(OR(T105="",I105="",R105="Closed"),"",IF(R105="Late","ETA passed: "&amp;ROUND(T105,0)&amp;" days of stock left",IF(Settings!$B$4+T105&lt;I105,"YES: "&amp;ROUND(I105-(Settings!$B$4+T105),0)&amp;" days short","No")))</f>
        <v/>
      </c>
      <c r="V105" s="31" t="str">
        <f aca="false">IF(R105="","",IF(OR(R105="Late",R105="Ship overdue",R105="Stale"),Settings!$B$4,IF(R105="At risk",Settings!$B$4+2,"")))</f>
        <v/>
      </c>
    </row>
    <row r="106" customFormat="false" ht="15" hidden="false" customHeight="false" outlineLevel="0" collapsed="false">
      <c r="A106" s="32"/>
      <c r="B106" s="32"/>
      <c r="C106" s="32"/>
      <c r="D106" s="32"/>
      <c r="E106" s="33"/>
      <c r="F106" s="33"/>
      <c r="G106" s="34"/>
      <c r="H106" s="34"/>
      <c r="I106" s="34"/>
      <c r="J106" s="34"/>
      <c r="K106" s="32"/>
      <c r="L106" s="35"/>
      <c r="M106" s="33"/>
      <c r="N106" s="33"/>
      <c r="O106" s="27" t="str">
        <f aca="false">IF(A106="","",MAX(E106-F106,0))</f>
        <v/>
      </c>
      <c r="P106" s="28" t="str">
        <f aca="false">IF(OR(A106="",I106=""),"",MAX(Settings!$B$4-I106,0))</f>
        <v/>
      </c>
      <c r="Q106" s="28" t="str">
        <f aca="false">IF(OR(A106="",J106=""),"",Settings!$B$4-J106)</f>
        <v/>
      </c>
      <c r="R106" s="29" t="str">
        <f aca="false">IF(A106="","",IF(OR(K106="Received",AND(E106&lt;&gt;"",O106=0)),"Closed",IF(AND(I106&lt;&gt;"",Settings!$B$4&gt;I106),"Late",IF(AND(H106&lt;&gt;"",Settings!$B$4&gt;H106,K106&lt;&gt;"Shipped"),"Ship overdue",IF(OR(K106="Delayed",AND(I106&lt;&gt;"",I106-Settings!$B$4&lt;=Settings!$B$5,K106&lt;&gt;"Shipped")),"At risk",IF(AND(Q106&lt;&gt;"",Q106&gt;Settings!$B$6),"Stale","On track"))))))</f>
        <v/>
      </c>
      <c r="S106" s="29" t="str">
        <f aca="false">IF(R106="","",IF(R106="Late","Ask for a new ETA and tracking number",IF(R106="Ship overdue","Ask why it hasn't shipped; get a firm ship date",IF(R106="At risk","Confirm the ship date this week",IF(R106="Stale","Request a status update",IF(R106="Closed","-","No action needed"))))))</f>
        <v/>
      </c>
      <c r="T106" s="30" t="str">
        <f aca="false">IF(OR(A106="",N106="",M106=""),"",IF(N106=0,"",M106/N106))</f>
        <v/>
      </c>
      <c r="U106" s="29" t="str">
        <f aca="false">IF(OR(T106="",I106="",R106="Closed"),"",IF(R106="Late","ETA passed: "&amp;ROUND(T106,0)&amp;" days of stock left",IF(Settings!$B$4+T106&lt;I106,"YES: "&amp;ROUND(I106-(Settings!$B$4+T106),0)&amp;" days short","No")))</f>
        <v/>
      </c>
      <c r="V106" s="31" t="str">
        <f aca="false">IF(R106="","",IF(OR(R106="Late",R106="Ship overdue",R106="Stale"),Settings!$B$4,IF(R106="At risk",Settings!$B$4+2,"")))</f>
        <v/>
      </c>
    </row>
    <row r="107" customFormat="false" ht="15" hidden="false" customHeight="false" outlineLevel="0" collapsed="false">
      <c r="A107" s="32"/>
      <c r="B107" s="32"/>
      <c r="C107" s="32"/>
      <c r="D107" s="32"/>
      <c r="E107" s="33"/>
      <c r="F107" s="33"/>
      <c r="G107" s="34"/>
      <c r="H107" s="34"/>
      <c r="I107" s="34"/>
      <c r="J107" s="34"/>
      <c r="K107" s="32"/>
      <c r="L107" s="35"/>
      <c r="M107" s="33"/>
      <c r="N107" s="33"/>
      <c r="O107" s="27" t="str">
        <f aca="false">IF(A107="","",MAX(E107-F107,0))</f>
        <v/>
      </c>
      <c r="P107" s="28" t="str">
        <f aca="false">IF(OR(A107="",I107=""),"",MAX(Settings!$B$4-I107,0))</f>
        <v/>
      </c>
      <c r="Q107" s="28" t="str">
        <f aca="false">IF(OR(A107="",J107=""),"",Settings!$B$4-J107)</f>
        <v/>
      </c>
      <c r="R107" s="29" t="str">
        <f aca="false">IF(A107="","",IF(OR(K107="Received",AND(E107&lt;&gt;"",O107=0)),"Closed",IF(AND(I107&lt;&gt;"",Settings!$B$4&gt;I107),"Late",IF(AND(H107&lt;&gt;"",Settings!$B$4&gt;H107,K107&lt;&gt;"Shipped"),"Ship overdue",IF(OR(K107="Delayed",AND(I107&lt;&gt;"",I107-Settings!$B$4&lt;=Settings!$B$5,K107&lt;&gt;"Shipped")),"At risk",IF(AND(Q107&lt;&gt;"",Q107&gt;Settings!$B$6),"Stale","On track"))))))</f>
        <v/>
      </c>
      <c r="S107" s="29" t="str">
        <f aca="false">IF(R107="","",IF(R107="Late","Ask for a new ETA and tracking number",IF(R107="Ship overdue","Ask why it hasn't shipped; get a firm ship date",IF(R107="At risk","Confirm the ship date this week",IF(R107="Stale","Request a status update",IF(R107="Closed","-","No action needed"))))))</f>
        <v/>
      </c>
      <c r="T107" s="30" t="str">
        <f aca="false">IF(OR(A107="",N107="",M107=""),"",IF(N107=0,"",M107/N107))</f>
        <v/>
      </c>
      <c r="U107" s="29" t="str">
        <f aca="false">IF(OR(T107="",I107="",R107="Closed"),"",IF(R107="Late","ETA passed: "&amp;ROUND(T107,0)&amp;" days of stock left",IF(Settings!$B$4+T107&lt;I107,"YES: "&amp;ROUND(I107-(Settings!$B$4+T107),0)&amp;" days short","No")))</f>
        <v/>
      </c>
      <c r="V107" s="31" t="str">
        <f aca="false">IF(R107="","",IF(OR(R107="Late",R107="Ship overdue",R107="Stale"),Settings!$B$4,IF(R107="At risk",Settings!$B$4+2,"")))</f>
        <v/>
      </c>
    </row>
    <row r="108" customFormat="false" ht="15" hidden="false" customHeight="false" outlineLevel="0" collapsed="false">
      <c r="A108" s="32"/>
      <c r="B108" s="32"/>
      <c r="C108" s="32"/>
      <c r="D108" s="32"/>
      <c r="E108" s="33"/>
      <c r="F108" s="33"/>
      <c r="G108" s="34"/>
      <c r="H108" s="34"/>
      <c r="I108" s="34"/>
      <c r="J108" s="34"/>
      <c r="K108" s="32"/>
      <c r="L108" s="35"/>
      <c r="M108" s="33"/>
      <c r="N108" s="33"/>
      <c r="O108" s="27" t="str">
        <f aca="false">IF(A108="","",MAX(E108-F108,0))</f>
        <v/>
      </c>
      <c r="P108" s="28" t="str">
        <f aca="false">IF(OR(A108="",I108=""),"",MAX(Settings!$B$4-I108,0))</f>
        <v/>
      </c>
      <c r="Q108" s="28" t="str">
        <f aca="false">IF(OR(A108="",J108=""),"",Settings!$B$4-J108)</f>
        <v/>
      </c>
      <c r="R108" s="29" t="str">
        <f aca="false">IF(A108="","",IF(OR(K108="Received",AND(E108&lt;&gt;"",O108=0)),"Closed",IF(AND(I108&lt;&gt;"",Settings!$B$4&gt;I108),"Late",IF(AND(H108&lt;&gt;"",Settings!$B$4&gt;H108,K108&lt;&gt;"Shipped"),"Ship overdue",IF(OR(K108="Delayed",AND(I108&lt;&gt;"",I108-Settings!$B$4&lt;=Settings!$B$5,K108&lt;&gt;"Shipped")),"At risk",IF(AND(Q108&lt;&gt;"",Q108&gt;Settings!$B$6),"Stale","On track"))))))</f>
        <v/>
      </c>
      <c r="S108" s="29" t="str">
        <f aca="false">IF(R108="","",IF(R108="Late","Ask for a new ETA and tracking number",IF(R108="Ship overdue","Ask why it hasn't shipped; get a firm ship date",IF(R108="At risk","Confirm the ship date this week",IF(R108="Stale","Request a status update",IF(R108="Closed","-","No action needed"))))))</f>
        <v/>
      </c>
      <c r="T108" s="30" t="str">
        <f aca="false">IF(OR(A108="",N108="",M108=""),"",IF(N108=0,"",M108/N108))</f>
        <v/>
      </c>
      <c r="U108" s="29" t="str">
        <f aca="false">IF(OR(T108="",I108="",R108="Closed"),"",IF(R108="Late","ETA passed: "&amp;ROUND(T108,0)&amp;" days of stock left",IF(Settings!$B$4+T108&lt;I108,"YES: "&amp;ROUND(I108-(Settings!$B$4+T108),0)&amp;" days short","No")))</f>
        <v/>
      </c>
      <c r="V108" s="31" t="str">
        <f aca="false">IF(R108="","",IF(OR(R108="Late",R108="Ship overdue",R108="Stale"),Settings!$B$4,IF(R108="At risk",Settings!$B$4+2,"")))</f>
        <v/>
      </c>
    </row>
    <row r="109" customFormat="false" ht="15" hidden="false" customHeight="false" outlineLevel="0" collapsed="false">
      <c r="A109" s="32"/>
      <c r="B109" s="32"/>
      <c r="C109" s="32"/>
      <c r="D109" s="32"/>
      <c r="E109" s="33"/>
      <c r="F109" s="33"/>
      <c r="G109" s="34"/>
      <c r="H109" s="34"/>
      <c r="I109" s="34"/>
      <c r="J109" s="34"/>
      <c r="K109" s="32"/>
      <c r="L109" s="35"/>
      <c r="M109" s="33"/>
      <c r="N109" s="33"/>
      <c r="O109" s="27" t="str">
        <f aca="false">IF(A109="","",MAX(E109-F109,0))</f>
        <v/>
      </c>
      <c r="P109" s="28" t="str">
        <f aca="false">IF(OR(A109="",I109=""),"",MAX(Settings!$B$4-I109,0))</f>
        <v/>
      </c>
      <c r="Q109" s="28" t="str">
        <f aca="false">IF(OR(A109="",J109=""),"",Settings!$B$4-J109)</f>
        <v/>
      </c>
      <c r="R109" s="29" t="str">
        <f aca="false">IF(A109="","",IF(OR(K109="Received",AND(E109&lt;&gt;"",O109=0)),"Closed",IF(AND(I109&lt;&gt;"",Settings!$B$4&gt;I109),"Late",IF(AND(H109&lt;&gt;"",Settings!$B$4&gt;H109,K109&lt;&gt;"Shipped"),"Ship overdue",IF(OR(K109="Delayed",AND(I109&lt;&gt;"",I109-Settings!$B$4&lt;=Settings!$B$5,K109&lt;&gt;"Shipped")),"At risk",IF(AND(Q109&lt;&gt;"",Q109&gt;Settings!$B$6),"Stale","On track"))))))</f>
        <v/>
      </c>
      <c r="S109" s="29" t="str">
        <f aca="false">IF(R109="","",IF(R109="Late","Ask for a new ETA and tracking number",IF(R109="Ship overdue","Ask why it hasn't shipped; get a firm ship date",IF(R109="At risk","Confirm the ship date this week",IF(R109="Stale","Request a status update",IF(R109="Closed","-","No action needed"))))))</f>
        <v/>
      </c>
      <c r="T109" s="30" t="str">
        <f aca="false">IF(OR(A109="",N109="",M109=""),"",IF(N109=0,"",M109/N109))</f>
        <v/>
      </c>
      <c r="U109" s="29" t="str">
        <f aca="false">IF(OR(T109="",I109="",R109="Closed"),"",IF(R109="Late","ETA passed: "&amp;ROUND(T109,0)&amp;" days of stock left",IF(Settings!$B$4+T109&lt;I109,"YES: "&amp;ROUND(I109-(Settings!$B$4+T109),0)&amp;" days short","No")))</f>
        <v/>
      </c>
      <c r="V109" s="31" t="str">
        <f aca="false">IF(R109="","",IF(OR(R109="Late",R109="Ship overdue",R109="Stale"),Settings!$B$4,IF(R109="At risk",Settings!$B$4+2,"")))</f>
        <v/>
      </c>
    </row>
    <row r="110" customFormat="false" ht="15" hidden="false" customHeight="false" outlineLevel="0" collapsed="false">
      <c r="A110" s="32"/>
      <c r="B110" s="32"/>
      <c r="C110" s="32"/>
      <c r="D110" s="32"/>
      <c r="E110" s="33"/>
      <c r="F110" s="33"/>
      <c r="G110" s="34"/>
      <c r="H110" s="34"/>
      <c r="I110" s="34"/>
      <c r="J110" s="34"/>
      <c r="K110" s="32"/>
      <c r="L110" s="35"/>
      <c r="M110" s="33"/>
      <c r="N110" s="33"/>
      <c r="O110" s="27" t="str">
        <f aca="false">IF(A110="","",MAX(E110-F110,0))</f>
        <v/>
      </c>
      <c r="P110" s="28" t="str">
        <f aca="false">IF(OR(A110="",I110=""),"",MAX(Settings!$B$4-I110,0))</f>
        <v/>
      </c>
      <c r="Q110" s="28" t="str">
        <f aca="false">IF(OR(A110="",J110=""),"",Settings!$B$4-J110)</f>
        <v/>
      </c>
      <c r="R110" s="29" t="str">
        <f aca="false">IF(A110="","",IF(OR(K110="Received",AND(E110&lt;&gt;"",O110=0)),"Closed",IF(AND(I110&lt;&gt;"",Settings!$B$4&gt;I110),"Late",IF(AND(H110&lt;&gt;"",Settings!$B$4&gt;H110,K110&lt;&gt;"Shipped"),"Ship overdue",IF(OR(K110="Delayed",AND(I110&lt;&gt;"",I110-Settings!$B$4&lt;=Settings!$B$5,K110&lt;&gt;"Shipped")),"At risk",IF(AND(Q110&lt;&gt;"",Q110&gt;Settings!$B$6),"Stale","On track"))))))</f>
        <v/>
      </c>
      <c r="S110" s="29" t="str">
        <f aca="false">IF(R110="","",IF(R110="Late","Ask for a new ETA and tracking number",IF(R110="Ship overdue","Ask why it hasn't shipped; get a firm ship date",IF(R110="At risk","Confirm the ship date this week",IF(R110="Stale","Request a status update",IF(R110="Closed","-","No action needed"))))))</f>
        <v/>
      </c>
      <c r="T110" s="30" t="str">
        <f aca="false">IF(OR(A110="",N110="",M110=""),"",IF(N110=0,"",M110/N110))</f>
        <v/>
      </c>
      <c r="U110" s="29" t="str">
        <f aca="false">IF(OR(T110="",I110="",R110="Closed"),"",IF(R110="Late","ETA passed: "&amp;ROUND(T110,0)&amp;" days of stock left",IF(Settings!$B$4+T110&lt;I110,"YES: "&amp;ROUND(I110-(Settings!$B$4+T110),0)&amp;" days short","No")))</f>
        <v/>
      </c>
      <c r="V110" s="31" t="str">
        <f aca="false">IF(R110="","",IF(OR(R110="Late",R110="Ship overdue",R110="Stale"),Settings!$B$4,IF(R110="At risk",Settings!$B$4+2,"")))</f>
        <v/>
      </c>
    </row>
    <row r="111" customFormat="false" ht="15" hidden="false" customHeight="false" outlineLevel="0" collapsed="false">
      <c r="A111" s="32"/>
      <c r="B111" s="32"/>
      <c r="C111" s="32"/>
      <c r="D111" s="32"/>
      <c r="E111" s="33"/>
      <c r="F111" s="33"/>
      <c r="G111" s="34"/>
      <c r="H111" s="34"/>
      <c r="I111" s="34"/>
      <c r="J111" s="34"/>
      <c r="K111" s="32"/>
      <c r="L111" s="35"/>
      <c r="M111" s="33"/>
      <c r="N111" s="33"/>
      <c r="O111" s="27" t="str">
        <f aca="false">IF(A111="","",MAX(E111-F111,0))</f>
        <v/>
      </c>
      <c r="P111" s="28" t="str">
        <f aca="false">IF(OR(A111="",I111=""),"",MAX(Settings!$B$4-I111,0))</f>
        <v/>
      </c>
      <c r="Q111" s="28" t="str">
        <f aca="false">IF(OR(A111="",J111=""),"",Settings!$B$4-J111)</f>
        <v/>
      </c>
      <c r="R111" s="29" t="str">
        <f aca="false">IF(A111="","",IF(OR(K111="Received",AND(E111&lt;&gt;"",O111=0)),"Closed",IF(AND(I111&lt;&gt;"",Settings!$B$4&gt;I111),"Late",IF(AND(H111&lt;&gt;"",Settings!$B$4&gt;H111,K111&lt;&gt;"Shipped"),"Ship overdue",IF(OR(K111="Delayed",AND(I111&lt;&gt;"",I111-Settings!$B$4&lt;=Settings!$B$5,K111&lt;&gt;"Shipped")),"At risk",IF(AND(Q111&lt;&gt;"",Q111&gt;Settings!$B$6),"Stale","On track"))))))</f>
        <v/>
      </c>
      <c r="S111" s="29" t="str">
        <f aca="false">IF(R111="","",IF(R111="Late","Ask for a new ETA and tracking number",IF(R111="Ship overdue","Ask why it hasn't shipped; get a firm ship date",IF(R111="At risk","Confirm the ship date this week",IF(R111="Stale","Request a status update",IF(R111="Closed","-","No action needed"))))))</f>
        <v/>
      </c>
      <c r="T111" s="30" t="str">
        <f aca="false">IF(OR(A111="",N111="",M111=""),"",IF(N111=0,"",M111/N111))</f>
        <v/>
      </c>
      <c r="U111" s="29" t="str">
        <f aca="false">IF(OR(T111="",I111="",R111="Closed"),"",IF(R111="Late","ETA passed: "&amp;ROUND(T111,0)&amp;" days of stock left",IF(Settings!$B$4+T111&lt;I111,"YES: "&amp;ROUND(I111-(Settings!$B$4+T111),0)&amp;" days short","No")))</f>
        <v/>
      </c>
      <c r="V111" s="31" t="str">
        <f aca="false">IF(R111="","",IF(OR(R111="Late",R111="Ship overdue",R111="Stale"),Settings!$B$4,IF(R111="At risk",Settings!$B$4+2,"")))</f>
        <v/>
      </c>
    </row>
    <row r="112" customFormat="false" ht="15" hidden="false" customHeight="false" outlineLevel="0" collapsed="false">
      <c r="A112" s="32"/>
      <c r="B112" s="32"/>
      <c r="C112" s="32"/>
      <c r="D112" s="32"/>
      <c r="E112" s="33"/>
      <c r="F112" s="33"/>
      <c r="G112" s="34"/>
      <c r="H112" s="34"/>
      <c r="I112" s="34"/>
      <c r="J112" s="34"/>
      <c r="K112" s="32"/>
      <c r="L112" s="35"/>
      <c r="M112" s="33"/>
      <c r="N112" s="33"/>
      <c r="O112" s="27" t="str">
        <f aca="false">IF(A112="","",MAX(E112-F112,0))</f>
        <v/>
      </c>
      <c r="P112" s="28" t="str">
        <f aca="false">IF(OR(A112="",I112=""),"",MAX(Settings!$B$4-I112,0))</f>
        <v/>
      </c>
      <c r="Q112" s="28" t="str">
        <f aca="false">IF(OR(A112="",J112=""),"",Settings!$B$4-J112)</f>
        <v/>
      </c>
      <c r="R112" s="29" t="str">
        <f aca="false">IF(A112="","",IF(OR(K112="Received",AND(E112&lt;&gt;"",O112=0)),"Closed",IF(AND(I112&lt;&gt;"",Settings!$B$4&gt;I112),"Late",IF(AND(H112&lt;&gt;"",Settings!$B$4&gt;H112,K112&lt;&gt;"Shipped"),"Ship overdue",IF(OR(K112="Delayed",AND(I112&lt;&gt;"",I112-Settings!$B$4&lt;=Settings!$B$5,K112&lt;&gt;"Shipped")),"At risk",IF(AND(Q112&lt;&gt;"",Q112&gt;Settings!$B$6),"Stale","On track"))))))</f>
        <v/>
      </c>
      <c r="S112" s="29" t="str">
        <f aca="false">IF(R112="","",IF(R112="Late","Ask for a new ETA and tracking number",IF(R112="Ship overdue","Ask why it hasn't shipped; get a firm ship date",IF(R112="At risk","Confirm the ship date this week",IF(R112="Stale","Request a status update",IF(R112="Closed","-","No action needed"))))))</f>
        <v/>
      </c>
      <c r="T112" s="30" t="str">
        <f aca="false">IF(OR(A112="",N112="",M112=""),"",IF(N112=0,"",M112/N112))</f>
        <v/>
      </c>
      <c r="U112" s="29" t="str">
        <f aca="false">IF(OR(T112="",I112="",R112="Closed"),"",IF(R112="Late","ETA passed: "&amp;ROUND(T112,0)&amp;" days of stock left",IF(Settings!$B$4+T112&lt;I112,"YES: "&amp;ROUND(I112-(Settings!$B$4+T112),0)&amp;" days short","No")))</f>
        <v/>
      </c>
      <c r="V112" s="31" t="str">
        <f aca="false">IF(R112="","",IF(OR(R112="Late",R112="Ship overdue",R112="Stale"),Settings!$B$4,IF(R112="At risk",Settings!$B$4+2,"")))</f>
        <v/>
      </c>
    </row>
    <row r="113" customFormat="false" ht="15" hidden="false" customHeight="false" outlineLevel="0" collapsed="false">
      <c r="A113" s="32"/>
      <c r="B113" s="32"/>
      <c r="C113" s="32"/>
      <c r="D113" s="32"/>
      <c r="E113" s="33"/>
      <c r="F113" s="33"/>
      <c r="G113" s="34"/>
      <c r="H113" s="34"/>
      <c r="I113" s="34"/>
      <c r="J113" s="34"/>
      <c r="K113" s="32"/>
      <c r="L113" s="35"/>
      <c r="M113" s="33"/>
      <c r="N113" s="33"/>
      <c r="O113" s="27" t="str">
        <f aca="false">IF(A113="","",MAX(E113-F113,0))</f>
        <v/>
      </c>
      <c r="P113" s="28" t="str">
        <f aca="false">IF(OR(A113="",I113=""),"",MAX(Settings!$B$4-I113,0))</f>
        <v/>
      </c>
      <c r="Q113" s="28" t="str">
        <f aca="false">IF(OR(A113="",J113=""),"",Settings!$B$4-J113)</f>
        <v/>
      </c>
      <c r="R113" s="29" t="str">
        <f aca="false">IF(A113="","",IF(OR(K113="Received",AND(E113&lt;&gt;"",O113=0)),"Closed",IF(AND(I113&lt;&gt;"",Settings!$B$4&gt;I113),"Late",IF(AND(H113&lt;&gt;"",Settings!$B$4&gt;H113,K113&lt;&gt;"Shipped"),"Ship overdue",IF(OR(K113="Delayed",AND(I113&lt;&gt;"",I113-Settings!$B$4&lt;=Settings!$B$5,K113&lt;&gt;"Shipped")),"At risk",IF(AND(Q113&lt;&gt;"",Q113&gt;Settings!$B$6),"Stale","On track"))))))</f>
        <v/>
      </c>
      <c r="S113" s="29" t="str">
        <f aca="false">IF(R113="","",IF(R113="Late","Ask for a new ETA and tracking number",IF(R113="Ship overdue","Ask why it hasn't shipped; get a firm ship date",IF(R113="At risk","Confirm the ship date this week",IF(R113="Stale","Request a status update",IF(R113="Closed","-","No action needed"))))))</f>
        <v/>
      </c>
      <c r="T113" s="30" t="str">
        <f aca="false">IF(OR(A113="",N113="",M113=""),"",IF(N113=0,"",M113/N113))</f>
        <v/>
      </c>
      <c r="U113" s="29" t="str">
        <f aca="false">IF(OR(T113="",I113="",R113="Closed"),"",IF(R113="Late","ETA passed: "&amp;ROUND(T113,0)&amp;" days of stock left",IF(Settings!$B$4+T113&lt;I113,"YES: "&amp;ROUND(I113-(Settings!$B$4+T113),0)&amp;" days short","No")))</f>
        <v/>
      </c>
      <c r="V113" s="31" t="str">
        <f aca="false">IF(R113="","",IF(OR(R113="Late",R113="Ship overdue",R113="Stale"),Settings!$B$4,IF(R113="At risk",Settings!$B$4+2,"")))</f>
        <v/>
      </c>
    </row>
    <row r="114" customFormat="false" ht="15" hidden="false" customHeight="false" outlineLevel="0" collapsed="false">
      <c r="A114" s="32"/>
      <c r="B114" s="32"/>
      <c r="C114" s="32"/>
      <c r="D114" s="32"/>
      <c r="E114" s="33"/>
      <c r="F114" s="33"/>
      <c r="G114" s="34"/>
      <c r="H114" s="34"/>
      <c r="I114" s="34"/>
      <c r="J114" s="34"/>
      <c r="K114" s="32"/>
      <c r="L114" s="35"/>
      <c r="M114" s="33"/>
      <c r="N114" s="33"/>
      <c r="O114" s="27" t="str">
        <f aca="false">IF(A114="","",MAX(E114-F114,0))</f>
        <v/>
      </c>
      <c r="P114" s="28" t="str">
        <f aca="false">IF(OR(A114="",I114=""),"",MAX(Settings!$B$4-I114,0))</f>
        <v/>
      </c>
      <c r="Q114" s="28" t="str">
        <f aca="false">IF(OR(A114="",J114=""),"",Settings!$B$4-J114)</f>
        <v/>
      </c>
      <c r="R114" s="29" t="str">
        <f aca="false">IF(A114="","",IF(OR(K114="Received",AND(E114&lt;&gt;"",O114=0)),"Closed",IF(AND(I114&lt;&gt;"",Settings!$B$4&gt;I114),"Late",IF(AND(H114&lt;&gt;"",Settings!$B$4&gt;H114,K114&lt;&gt;"Shipped"),"Ship overdue",IF(OR(K114="Delayed",AND(I114&lt;&gt;"",I114-Settings!$B$4&lt;=Settings!$B$5,K114&lt;&gt;"Shipped")),"At risk",IF(AND(Q114&lt;&gt;"",Q114&gt;Settings!$B$6),"Stale","On track"))))))</f>
        <v/>
      </c>
      <c r="S114" s="29" t="str">
        <f aca="false">IF(R114="","",IF(R114="Late","Ask for a new ETA and tracking number",IF(R114="Ship overdue","Ask why it hasn't shipped; get a firm ship date",IF(R114="At risk","Confirm the ship date this week",IF(R114="Stale","Request a status update",IF(R114="Closed","-","No action needed"))))))</f>
        <v/>
      </c>
      <c r="T114" s="30" t="str">
        <f aca="false">IF(OR(A114="",N114="",M114=""),"",IF(N114=0,"",M114/N114))</f>
        <v/>
      </c>
      <c r="U114" s="29" t="str">
        <f aca="false">IF(OR(T114="",I114="",R114="Closed"),"",IF(R114="Late","ETA passed: "&amp;ROUND(T114,0)&amp;" days of stock left",IF(Settings!$B$4+T114&lt;I114,"YES: "&amp;ROUND(I114-(Settings!$B$4+T114),0)&amp;" days short","No")))</f>
        <v/>
      </c>
      <c r="V114" s="31" t="str">
        <f aca="false">IF(R114="","",IF(OR(R114="Late",R114="Ship overdue",R114="Stale"),Settings!$B$4,IF(R114="At risk",Settings!$B$4+2,"")))</f>
        <v/>
      </c>
    </row>
    <row r="115" customFormat="false" ht="15" hidden="false" customHeight="false" outlineLevel="0" collapsed="false">
      <c r="A115" s="32"/>
      <c r="B115" s="32"/>
      <c r="C115" s="32"/>
      <c r="D115" s="32"/>
      <c r="E115" s="33"/>
      <c r="F115" s="33"/>
      <c r="G115" s="34"/>
      <c r="H115" s="34"/>
      <c r="I115" s="34"/>
      <c r="J115" s="34"/>
      <c r="K115" s="32"/>
      <c r="L115" s="35"/>
      <c r="M115" s="33"/>
      <c r="N115" s="33"/>
      <c r="O115" s="27" t="str">
        <f aca="false">IF(A115="","",MAX(E115-F115,0))</f>
        <v/>
      </c>
      <c r="P115" s="28" t="str">
        <f aca="false">IF(OR(A115="",I115=""),"",MAX(Settings!$B$4-I115,0))</f>
        <v/>
      </c>
      <c r="Q115" s="28" t="str">
        <f aca="false">IF(OR(A115="",J115=""),"",Settings!$B$4-J115)</f>
        <v/>
      </c>
      <c r="R115" s="29" t="str">
        <f aca="false">IF(A115="","",IF(OR(K115="Received",AND(E115&lt;&gt;"",O115=0)),"Closed",IF(AND(I115&lt;&gt;"",Settings!$B$4&gt;I115),"Late",IF(AND(H115&lt;&gt;"",Settings!$B$4&gt;H115,K115&lt;&gt;"Shipped"),"Ship overdue",IF(OR(K115="Delayed",AND(I115&lt;&gt;"",I115-Settings!$B$4&lt;=Settings!$B$5,K115&lt;&gt;"Shipped")),"At risk",IF(AND(Q115&lt;&gt;"",Q115&gt;Settings!$B$6),"Stale","On track"))))))</f>
        <v/>
      </c>
      <c r="S115" s="29" t="str">
        <f aca="false">IF(R115="","",IF(R115="Late","Ask for a new ETA and tracking number",IF(R115="Ship overdue","Ask why it hasn't shipped; get a firm ship date",IF(R115="At risk","Confirm the ship date this week",IF(R115="Stale","Request a status update",IF(R115="Closed","-","No action needed"))))))</f>
        <v/>
      </c>
      <c r="T115" s="30" t="str">
        <f aca="false">IF(OR(A115="",N115="",M115=""),"",IF(N115=0,"",M115/N115))</f>
        <v/>
      </c>
      <c r="U115" s="29" t="str">
        <f aca="false">IF(OR(T115="",I115="",R115="Closed"),"",IF(R115="Late","ETA passed: "&amp;ROUND(T115,0)&amp;" days of stock left",IF(Settings!$B$4+T115&lt;I115,"YES: "&amp;ROUND(I115-(Settings!$B$4+T115),0)&amp;" days short","No")))</f>
        <v/>
      </c>
      <c r="V115" s="31" t="str">
        <f aca="false">IF(R115="","",IF(OR(R115="Late",R115="Ship overdue",R115="Stale"),Settings!$B$4,IF(R115="At risk",Settings!$B$4+2,"")))</f>
        <v/>
      </c>
    </row>
    <row r="116" customFormat="false" ht="15" hidden="false" customHeight="false" outlineLevel="0" collapsed="false">
      <c r="A116" s="32"/>
      <c r="B116" s="32"/>
      <c r="C116" s="32"/>
      <c r="D116" s="32"/>
      <c r="E116" s="33"/>
      <c r="F116" s="33"/>
      <c r="G116" s="34"/>
      <c r="H116" s="34"/>
      <c r="I116" s="34"/>
      <c r="J116" s="34"/>
      <c r="K116" s="32"/>
      <c r="L116" s="35"/>
      <c r="M116" s="33"/>
      <c r="N116" s="33"/>
      <c r="O116" s="27" t="str">
        <f aca="false">IF(A116="","",MAX(E116-F116,0))</f>
        <v/>
      </c>
      <c r="P116" s="28" t="str">
        <f aca="false">IF(OR(A116="",I116=""),"",MAX(Settings!$B$4-I116,0))</f>
        <v/>
      </c>
      <c r="Q116" s="28" t="str">
        <f aca="false">IF(OR(A116="",J116=""),"",Settings!$B$4-J116)</f>
        <v/>
      </c>
      <c r="R116" s="29" t="str">
        <f aca="false">IF(A116="","",IF(OR(K116="Received",AND(E116&lt;&gt;"",O116=0)),"Closed",IF(AND(I116&lt;&gt;"",Settings!$B$4&gt;I116),"Late",IF(AND(H116&lt;&gt;"",Settings!$B$4&gt;H116,K116&lt;&gt;"Shipped"),"Ship overdue",IF(OR(K116="Delayed",AND(I116&lt;&gt;"",I116-Settings!$B$4&lt;=Settings!$B$5,K116&lt;&gt;"Shipped")),"At risk",IF(AND(Q116&lt;&gt;"",Q116&gt;Settings!$B$6),"Stale","On track"))))))</f>
        <v/>
      </c>
      <c r="S116" s="29" t="str">
        <f aca="false">IF(R116="","",IF(R116="Late","Ask for a new ETA and tracking number",IF(R116="Ship overdue","Ask why it hasn't shipped; get a firm ship date",IF(R116="At risk","Confirm the ship date this week",IF(R116="Stale","Request a status update",IF(R116="Closed","-","No action needed"))))))</f>
        <v/>
      </c>
      <c r="T116" s="30" t="str">
        <f aca="false">IF(OR(A116="",N116="",M116=""),"",IF(N116=0,"",M116/N116))</f>
        <v/>
      </c>
      <c r="U116" s="29" t="str">
        <f aca="false">IF(OR(T116="",I116="",R116="Closed"),"",IF(R116="Late","ETA passed: "&amp;ROUND(T116,0)&amp;" days of stock left",IF(Settings!$B$4+T116&lt;I116,"YES: "&amp;ROUND(I116-(Settings!$B$4+T116),0)&amp;" days short","No")))</f>
        <v/>
      </c>
      <c r="V116" s="31" t="str">
        <f aca="false">IF(R116="","",IF(OR(R116="Late",R116="Ship overdue",R116="Stale"),Settings!$B$4,IF(R116="At risk",Settings!$B$4+2,"")))</f>
        <v/>
      </c>
    </row>
    <row r="117" customFormat="false" ht="15" hidden="false" customHeight="false" outlineLevel="0" collapsed="false">
      <c r="A117" s="32"/>
      <c r="B117" s="32"/>
      <c r="C117" s="32"/>
      <c r="D117" s="32"/>
      <c r="E117" s="33"/>
      <c r="F117" s="33"/>
      <c r="G117" s="34"/>
      <c r="H117" s="34"/>
      <c r="I117" s="34"/>
      <c r="J117" s="34"/>
      <c r="K117" s="32"/>
      <c r="L117" s="35"/>
      <c r="M117" s="33"/>
      <c r="N117" s="33"/>
      <c r="O117" s="27" t="str">
        <f aca="false">IF(A117="","",MAX(E117-F117,0))</f>
        <v/>
      </c>
      <c r="P117" s="28" t="str">
        <f aca="false">IF(OR(A117="",I117=""),"",MAX(Settings!$B$4-I117,0))</f>
        <v/>
      </c>
      <c r="Q117" s="28" t="str">
        <f aca="false">IF(OR(A117="",J117=""),"",Settings!$B$4-J117)</f>
        <v/>
      </c>
      <c r="R117" s="29" t="str">
        <f aca="false">IF(A117="","",IF(OR(K117="Received",AND(E117&lt;&gt;"",O117=0)),"Closed",IF(AND(I117&lt;&gt;"",Settings!$B$4&gt;I117),"Late",IF(AND(H117&lt;&gt;"",Settings!$B$4&gt;H117,K117&lt;&gt;"Shipped"),"Ship overdue",IF(OR(K117="Delayed",AND(I117&lt;&gt;"",I117-Settings!$B$4&lt;=Settings!$B$5,K117&lt;&gt;"Shipped")),"At risk",IF(AND(Q117&lt;&gt;"",Q117&gt;Settings!$B$6),"Stale","On track"))))))</f>
        <v/>
      </c>
      <c r="S117" s="29" t="str">
        <f aca="false">IF(R117="","",IF(R117="Late","Ask for a new ETA and tracking number",IF(R117="Ship overdue","Ask why it hasn't shipped; get a firm ship date",IF(R117="At risk","Confirm the ship date this week",IF(R117="Stale","Request a status update",IF(R117="Closed","-","No action needed"))))))</f>
        <v/>
      </c>
      <c r="T117" s="30" t="str">
        <f aca="false">IF(OR(A117="",N117="",M117=""),"",IF(N117=0,"",M117/N117))</f>
        <v/>
      </c>
      <c r="U117" s="29" t="str">
        <f aca="false">IF(OR(T117="",I117="",R117="Closed"),"",IF(R117="Late","ETA passed: "&amp;ROUND(T117,0)&amp;" days of stock left",IF(Settings!$B$4+T117&lt;I117,"YES: "&amp;ROUND(I117-(Settings!$B$4+T117),0)&amp;" days short","No")))</f>
        <v/>
      </c>
      <c r="V117" s="31" t="str">
        <f aca="false">IF(R117="","",IF(OR(R117="Late",R117="Ship overdue",R117="Stale"),Settings!$B$4,IF(R117="At risk",Settings!$B$4+2,"")))</f>
        <v/>
      </c>
    </row>
    <row r="118" customFormat="false" ht="15" hidden="false" customHeight="false" outlineLevel="0" collapsed="false">
      <c r="A118" s="32"/>
      <c r="B118" s="32"/>
      <c r="C118" s="32"/>
      <c r="D118" s="32"/>
      <c r="E118" s="33"/>
      <c r="F118" s="33"/>
      <c r="G118" s="34"/>
      <c r="H118" s="34"/>
      <c r="I118" s="34"/>
      <c r="J118" s="34"/>
      <c r="K118" s="32"/>
      <c r="L118" s="35"/>
      <c r="M118" s="33"/>
      <c r="N118" s="33"/>
      <c r="O118" s="27" t="str">
        <f aca="false">IF(A118="","",MAX(E118-F118,0))</f>
        <v/>
      </c>
      <c r="P118" s="28" t="str">
        <f aca="false">IF(OR(A118="",I118=""),"",MAX(Settings!$B$4-I118,0))</f>
        <v/>
      </c>
      <c r="Q118" s="28" t="str">
        <f aca="false">IF(OR(A118="",J118=""),"",Settings!$B$4-J118)</f>
        <v/>
      </c>
      <c r="R118" s="29" t="str">
        <f aca="false">IF(A118="","",IF(OR(K118="Received",AND(E118&lt;&gt;"",O118=0)),"Closed",IF(AND(I118&lt;&gt;"",Settings!$B$4&gt;I118),"Late",IF(AND(H118&lt;&gt;"",Settings!$B$4&gt;H118,K118&lt;&gt;"Shipped"),"Ship overdue",IF(OR(K118="Delayed",AND(I118&lt;&gt;"",I118-Settings!$B$4&lt;=Settings!$B$5,K118&lt;&gt;"Shipped")),"At risk",IF(AND(Q118&lt;&gt;"",Q118&gt;Settings!$B$6),"Stale","On track"))))))</f>
        <v/>
      </c>
      <c r="S118" s="29" t="str">
        <f aca="false">IF(R118="","",IF(R118="Late","Ask for a new ETA and tracking number",IF(R118="Ship overdue","Ask why it hasn't shipped; get a firm ship date",IF(R118="At risk","Confirm the ship date this week",IF(R118="Stale","Request a status update",IF(R118="Closed","-","No action needed"))))))</f>
        <v/>
      </c>
      <c r="T118" s="30" t="str">
        <f aca="false">IF(OR(A118="",N118="",M118=""),"",IF(N118=0,"",M118/N118))</f>
        <v/>
      </c>
      <c r="U118" s="29" t="str">
        <f aca="false">IF(OR(T118="",I118="",R118="Closed"),"",IF(R118="Late","ETA passed: "&amp;ROUND(T118,0)&amp;" days of stock left",IF(Settings!$B$4+T118&lt;I118,"YES: "&amp;ROUND(I118-(Settings!$B$4+T118),0)&amp;" days short","No")))</f>
        <v/>
      </c>
      <c r="V118" s="31" t="str">
        <f aca="false">IF(R118="","",IF(OR(R118="Late",R118="Ship overdue",R118="Stale"),Settings!$B$4,IF(R118="At risk",Settings!$B$4+2,"")))</f>
        <v/>
      </c>
    </row>
    <row r="119" customFormat="false" ht="15" hidden="false" customHeight="false" outlineLevel="0" collapsed="false">
      <c r="A119" s="32"/>
      <c r="B119" s="32"/>
      <c r="C119" s="32"/>
      <c r="D119" s="32"/>
      <c r="E119" s="33"/>
      <c r="F119" s="33"/>
      <c r="G119" s="34"/>
      <c r="H119" s="34"/>
      <c r="I119" s="34"/>
      <c r="J119" s="34"/>
      <c r="K119" s="32"/>
      <c r="L119" s="35"/>
      <c r="M119" s="33"/>
      <c r="N119" s="33"/>
      <c r="O119" s="27" t="str">
        <f aca="false">IF(A119="","",MAX(E119-F119,0))</f>
        <v/>
      </c>
      <c r="P119" s="28" t="str">
        <f aca="false">IF(OR(A119="",I119=""),"",MAX(Settings!$B$4-I119,0))</f>
        <v/>
      </c>
      <c r="Q119" s="28" t="str">
        <f aca="false">IF(OR(A119="",J119=""),"",Settings!$B$4-J119)</f>
        <v/>
      </c>
      <c r="R119" s="29" t="str">
        <f aca="false">IF(A119="","",IF(OR(K119="Received",AND(E119&lt;&gt;"",O119=0)),"Closed",IF(AND(I119&lt;&gt;"",Settings!$B$4&gt;I119),"Late",IF(AND(H119&lt;&gt;"",Settings!$B$4&gt;H119,K119&lt;&gt;"Shipped"),"Ship overdue",IF(OR(K119="Delayed",AND(I119&lt;&gt;"",I119-Settings!$B$4&lt;=Settings!$B$5,K119&lt;&gt;"Shipped")),"At risk",IF(AND(Q119&lt;&gt;"",Q119&gt;Settings!$B$6),"Stale","On track"))))))</f>
        <v/>
      </c>
      <c r="S119" s="29" t="str">
        <f aca="false">IF(R119="","",IF(R119="Late","Ask for a new ETA and tracking number",IF(R119="Ship overdue","Ask why it hasn't shipped; get a firm ship date",IF(R119="At risk","Confirm the ship date this week",IF(R119="Stale","Request a status update",IF(R119="Closed","-","No action needed"))))))</f>
        <v/>
      </c>
      <c r="T119" s="30" t="str">
        <f aca="false">IF(OR(A119="",N119="",M119=""),"",IF(N119=0,"",M119/N119))</f>
        <v/>
      </c>
      <c r="U119" s="29" t="str">
        <f aca="false">IF(OR(T119="",I119="",R119="Closed"),"",IF(R119="Late","ETA passed: "&amp;ROUND(T119,0)&amp;" days of stock left",IF(Settings!$B$4+T119&lt;I119,"YES: "&amp;ROUND(I119-(Settings!$B$4+T119),0)&amp;" days short","No")))</f>
        <v/>
      </c>
      <c r="V119" s="31" t="str">
        <f aca="false">IF(R119="","",IF(OR(R119="Late",R119="Ship overdue",R119="Stale"),Settings!$B$4,IF(R119="At risk",Settings!$B$4+2,"")))</f>
        <v/>
      </c>
    </row>
    <row r="120" customFormat="false" ht="15" hidden="false" customHeight="false" outlineLevel="0" collapsed="false">
      <c r="A120" s="32"/>
      <c r="B120" s="32"/>
      <c r="C120" s="32"/>
      <c r="D120" s="32"/>
      <c r="E120" s="33"/>
      <c r="F120" s="33"/>
      <c r="G120" s="34"/>
      <c r="H120" s="34"/>
      <c r="I120" s="34"/>
      <c r="J120" s="34"/>
      <c r="K120" s="32"/>
      <c r="L120" s="35"/>
      <c r="M120" s="33"/>
      <c r="N120" s="33"/>
      <c r="O120" s="27" t="str">
        <f aca="false">IF(A120="","",MAX(E120-F120,0))</f>
        <v/>
      </c>
      <c r="P120" s="28" t="str">
        <f aca="false">IF(OR(A120="",I120=""),"",MAX(Settings!$B$4-I120,0))</f>
        <v/>
      </c>
      <c r="Q120" s="28" t="str">
        <f aca="false">IF(OR(A120="",J120=""),"",Settings!$B$4-J120)</f>
        <v/>
      </c>
      <c r="R120" s="29" t="str">
        <f aca="false">IF(A120="","",IF(OR(K120="Received",AND(E120&lt;&gt;"",O120=0)),"Closed",IF(AND(I120&lt;&gt;"",Settings!$B$4&gt;I120),"Late",IF(AND(H120&lt;&gt;"",Settings!$B$4&gt;H120,K120&lt;&gt;"Shipped"),"Ship overdue",IF(OR(K120="Delayed",AND(I120&lt;&gt;"",I120-Settings!$B$4&lt;=Settings!$B$5,K120&lt;&gt;"Shipped")),"At risk",IF(AND(Q120&lt;&gt;"",Q120&gt;Settings!$B$6),"Stale","On track"))))))</f>
        <v/>
      </c>
      <c r="S120" s="29" t="str">
        <f aca="false">IF(R120="","",IF(R120="Late","Ask for a new ETA and tracking number",IF(R120="Ship overdue","Ask why it hasn't shipped; get a firm ship date",IF(R120="At risk","Confirm the ship date this week",IF(R120="Stale","Request a status update",IF(R120="Closed","-","No action needed"))))))</f>
        <v/>
      </c>
      <c r="T120" s="30" t="str">
        <f aca="false">IF(OR(A120="",N120="",M120=""),"",IF(N120=0,"",M120/N120))</f>
        <v/>
      </c>
      <c r="U120" s="29" t="str">
        <f aca="false">IF(OR(T120="",I120="",R120="Closed"),"",IF(R120="Late","ETA passed: "&amp;ROUND(T120,0)&amp;" days of stock left",IF(Settings!$B$4+T120&lt;I120,"YES: "&amp;ROUND(I120-(Settings!$B$4+T120),0)&amp;" days short","No")))</f>
        <v/>
      </c>
      <c r="V120" s="31" t="str">
        <f aca="false">IF(R120="","",IF(OR(R120="Late",R120="Ship overdue",R120="Stale"),Settings!$B$4,IF(R120="At risk",Settings!$B$4+2,"")))</f>
        <v/>
      </c>
    </row>
    <row r="121" customFormat="false" ht="15" hidden="false" customHeight="false" outlineLevel="0" collapsed="false">
      <c r="A121" s="32"/>
      <c r="B121" s="32"/>
      <c r="C121" s="32"/>
      <c r="D121" s="32"/>
      <c r="E121" s="33"/>
      <c r="F121" s="33"/>
      <c r="G121" s="34"/>
      <c r="H121" s="34"/>
      <c r="I121" s="34"/>
      <c r="J121" s="34"/>
      <c r="K121" s="32"/>
      <c r="L121" s="35"/>
      <c r="M121" s="33"/>
      <c r="N121" s="33"/>
      <c r="O121" s="27" t="str">
        <f aca="false">IF(A121="","",MAX(E121-F121,0))</f>
        <v/>
      </c>
      <c r="P121" s="28" t="str">
        <f aca="false">IF(OR(A121="",I121=""),"",MAX(Settings!$B$4-I121,0))</f>
        <v/>
      </c>
      <c r="Q121" s="28" t="str">
        <f aca="false">IF(OR(A121="",J121=""),"",Settings!$B$4-J121)</f>
        <v/>
      </c>
      <c r="R121" s="29" t="str">
        <f aca="false">IF(A121="","",IF(OR(K121="Received",AND(E121&lt;&gt;"",O121=0)),"Closed",IF(AND(I121&lt;&gt;"",Settings!$B$4&gt;I121),"Late",IF(AND(H121&lt;&gt;"",Settings!$B$4&gt;H121,K121&lt;&gt;"Shipped"),"Ship overdue",IF(OR(K121="Delayed",AND(I121&lt;&gt;"",I121-Settings!$B$4&lt;=Settings!$B$5,K121&lt;&gt;"Shipped")),"At risk",IF(AND(Q121&lt;&gt;"",Q121&gt;Settings!$B$6),"Stale","On track"))))))</f>
        <v/>
      </c>
      <c r="S121" s="29" t="str">
        <f aca="false">IF(R121="","",IF(R121="Late","Ask for a new ETA and tracking number",IF(R121="Ship overdue","Ask why it hasn't shipped; get a firm ship date",IF(R121="At risk","Confirm the ship date this week",IF(R121="Stale","Request a status update",IF(R121="Closed","-","No action needed"))))))</f>
        <v/>
      </c>
      <c r="T121" s="30" t="str">
        <f aca="false">IF(OR(A121="",N121="",M121=""),"",IF(N121=0,"",M121/N121))</f>
        <v/>
      </c>
      <c r="U121" s="29" t="str">
        <f aca="false">IF(OR(T121="",I121="",R121="Closed"),"",IF(R121="Late","ETA passed: "&amp;ROUND(T121,0)&amp;" days of stock left",IF(Settings!$B$4+T121&lt;I121,"YES: "&amp;ROUND(I121-(Settings!$B$4+T121),0)&amp;" days short","No")))</f>
        <v/>
      </c>
      <c r="V121" s="31" t="str">
        <f aca="false">IF(R121="","",IF(OR(R121="Late",R121="Ship overdue",R121="Stale"),Settings!$B$4,IF(R121="At risk",Settings!$B$4+2,"")))</f>
        <v/>
      </c>
    </row>
    <row r="122" customFormat="false" ht="15" hidden="false" customHeight="false" outlineLevel="0" collapsed="false">
      <c r="A122" s="32"/>
      <c r="B122" s="32"/>
      <c r="C122" s="32"/>
      <c r="D122" s="32"/>
      <c r="E122" s="33"/>
      <c r="F122" s="33"/>
      <c r="G122" s="34"/>
      <c r="H122" s="34"/>
      <c r="I122" s="34"/>
      <c r="J122" s="34"/>
      <c r="K122" s="32"/>
      <c r="L122" s="35"/>
      <c r="M122" s="33"/>
      <c r="N122" s="33"/>
      <c r="O122" s="27" t="str">
        <f aca="false">IF(A122="","",MAX(E122-F122,0))</f>
        <v/>
      </c>
      <c r="P122" s="28" t="str">
        <f aca="false">IF(OR(A122="",I122=""),"",MAX(Settings!$B$4-I122,0))</f>
        <v/>
      </c>
      <c r="Q122" s="28" t="str">
        <f aca="false">IF(OR(A122="",J122=""),"",Settings!$B$4-J122)</f>
        <v/>
      </c>
      <c r="R122" s="29" t="str">
        <f aca="false">IF(A122="","",IF(OR(K122="Received",AND(E122&lt;&gt;"",O122=0)),"Closed",IF(AND(I122&lt;&gt;"",Settings!$B$4&gt;I122),"Late",IF(AND(H122&lt;&gt;"",Settings!$B$4&gt;H122,K122&lt;&gt;"Shipped"),"Ship overdue",IF(OR(K122="Delayed",AND(I122&lt;&gt;"",I122-Settings!$B$4&lt;=Settings!$B$5,K122&lt;&gt;"Shipped")),"At risk",IF(AND(Q122&lt;&gt;"",Q122&gt;Settings!$B$6),"Stale","On track"))))))</f>
        <v/>
      </c>
      <c r="S122" s="29" t="str">
        <f aca="false">IF(R122="","",IF(R122="Late","Ask for a new ETA and tracking number",IF(R122="Ship overdue","Ask why it hasn't shipped; get a firm ship date",IF(R122="At risk","Confirm the ship date this week",IF(R122="Stale","Request a status update",IF(R122="Closed","-","No action needed"))))))</f>
        <v/>
      </c>
      <c r="T122" s="30" t="str">
        <f aca="false">IF(OR(A122="",N122="",M122=""),"",IF(N122=0,"",M122/N122))</f>
        <v/>
      </c>
      <c r="U122" s="29" t="str">
        <f aca="false">IF(OR(T122="",I122="",R122="Closed"),"",IF(R122="Late","ETA passed: "&amp;ROUND(T122,0)&amp;" days of stock left",IF(Settings!$B$4+T122&lt;I122,"YES: "&amp;ROUND(I122-(Settings!$B$4+T122),0)&amp;" days short","No")))</f>
        <v/>
      </c>
      <c r="V122" s="31" t="str">
        <f aca="false">IF(R122="","",IF(OR(R122="Late",R122="Ship overdue",R122="Stale"),Settings!$B$4,IF(R122="At risk",Settings!$B$4+2,"")))</f>
        <v/>
      </c>
    </row>
    <row r="123" customFormat="false" ht="15" hidden="false" customHeight="false" outlineLevel="0" collapsed="false">
      <c r="A123" s="32"/>
      <c r="B123" s="32"/>
      <c r="C123" s="32"/>
      <c r="D123" s="32"/>
      <c r="E123" s="33"/>
      <c r="F123" s="33"/>
      <c r="G123" s="34"/>
      <c r="H123" s="34"/>
      <c r="I123" s="34"/>
      <c r="J123" s="34"/>
      <c r="K123" s="32"/>
      <c r="L123" s="35"/>
      <c r="M123" s="33"/>
      <c r="N123" s="33"/>
      <c r="O123" s="27" t="str">
        <f aca="false">IF(A123="","",MAX(E123-F123,0))</f>
        <v/>
      </c>
      <c r="P123" s="28" t="str">
        <f aca="false">IF(OR(A123="",I123=""),"",MAX(Settings!$B$4-I123,0))</f>
        <v/>
      </c>
      <c r="Q123" s="28" t="str">
        <f aca="false">IF(OR(A123="",J123=""),"",Settings!$B$4-J123)</f>
        <v/>
      </c>
      <c r="R123" s="29" t="str">
        <f aca="false">IF(A123="","",IF(OR(K123="Received",AND(E123&lt;&gt;"",O123=0)),"Closed",IF(AND(I123&lt;&gt;"",Settings!$B$4&gt;I123),"Late",IF(AND(H123&lt;&gt;"",Settings!$B$4&gt;H123,K123&lt;&gt;"Shipped"),"Ship overdue",IF(OR(K123="Delayed",AND(I123&lt;&gt;"",I123-Settings!$B$4&lt;=Settings!$B$5,K123&lt;&gt;"Shipped")),"At risk",IF(AND(Q123&lt;&gt;"",Q123&gt;Settings!$B$6),"Stale","On track"))))))</f>
        <v/>
      </c>
      <c r="S123" s="29" t="str">
        <f aca="false">IF(R123="","",IF(R123="Late","Ask for a new ETA and tracking number",IF(R123="Ship overdue","Ask why it hasn't shipped; get a firm ship date",IF(R123="At risk","Confirm the ship date this week",IF(R123="Stale","Request a status update",IF(R123="Closed","-","No action needed"))))))</f>
        <v/>
      </c>
      <c r="T123" s="30" t="str">
        <f aca="false">IF(OR(A123="",N123="",M123=""),"",IF(N123=0,"",M123/N123))</f>
        <v/>
      </c>
      <c r="U123" s="29" t="str">
        <f aca="false">IF(OR(T123="",I123="",R123="Closed"),"",IF(R123="Late","ETA passed: "&amp;ROUND(T123,0)&amp;" days of stock left",IF(Settings!$B$4+T123&lt;I123,"YES: "&amp;ROUND(I123-(Settings!$B$4+T123),0)&amp;" days short","No")))</f>
        <v/>
      </c>
      <c r="V123" s="31" t="str">
        <f aca="false">IF(R123="","",IF(OR(R123="Late",R123="Ship overdue",R123="Stale"),Settings!$B$4,IF(R123="At risk",Settings!$B$4+2,"")))</f>
        <v/>
      </c>
    </row>
    <row r="124" customFormat="false" ht="15" hidden="false" customHeight="false" outlineLevel="0" collapsed="false">
      <c r="A124" s="32"/>
      <c r="B124" s="32"/>
      <c r="C124" s="32"/>
      <c r="D124" s="32"/>
      <c r="E124" s="33"/>
      <c r="F124" s="33"/>
      <c r="G124" s="34"/>
      <c r="H124" s="34"/>
      <c r="I124" s="34"/>
      <c r="J124" s="34"/>
      <c r="K124" s="32"/>
      <c r="L124" s="35"/>
      <c r="M124" s="33"/>
      <c r="N124" s="33"/>
      <c r="O124" s="27" t="str">
        <f aca="false">IF(A124="","",MAX(E124-F124,0))</f>
        <v/>
      </c>
      <c r="P124" s="28" t="str">
        <f aca="false">IF(OR(A124="",I124=""),"",MAX(Settings!$B$4-I124,0))</f>
        <v/>
      </c>
      <c r="Q124" s="28" t="str">
        <f aca="false">IF(OR(A124="",J124=""),"",Settings!$B$4-J124)</f>
        <v/>
      </c>
      <c r="R124" s="29" t="str">
        <f aca="false">IF(A124="","",IF(OR(K124="Received",AND(E124&lt;&gt;"",O124=0)),"Closed",IF(AND(I124&lt;&gt;"",Settings!$B$4&gt;I124),"Late",IF(AND(H124&lt;&gt;"",Settings!$B$4&gt;H124,K124&lt;&gt;"Shipped"),"Ship overdue",IF(OR(K124="Delayed",AND(I124&lt;&gt;"",I124-Settings!$B$4&lt;=Settings!$B$5,K124&lt;&gt;"Shipped")),"At risk",IF(AND(Q124&lt;&gt;"",Q124&gt;Settings!$B$6),"Stale","On track"))))))</f>
        <v/>
      </c>
      <c r="S124" s="29" t="str">
        <f aca="false">IF(R124="","",IF(R124="Late","Ask for a new ETA and tracking number",IF(R124="Ship overdue","Ask why it hasn't shipped; get a firm ship date",IF(R124="At risk","Confirm the ship date this week",IF(R124="Stale","Request a status update",IF(R124="Closed","-","No action needed"))))))</f>
        <v/>
      </c>
      <c r="T124" s="30" t="str">
        <f aca="false">IF(OR(A124="",N124="",M124=""),"",IF(N124=0,"",M124/N124))</f>
        <v/>
      </c>
      <c r="U124" s="29" t="str">
        <f aca="false">IF(OR(T124="",I124="",R124="Closed"),"",IF(R124="Late","ETA passed: "&amp;ROUND(T124,0)&amp;" days of stock left",IF(Settings!$B$4+T124&lt;I124,"YES: "&amp;ROUND(I124-(Settings!$B$4+T124),0)&amp;" days short","No")))</f>
        <v/>
      </c>
      <c r="V124" s="31" t="str">
        <f aca="false">IF(R124="","",IF(OR(R124="Late",R124="Ship overdue",R124="Stale"),Settings!$B$4,IF(R124="At risk",Settings!$B$4+2,"")))</f>
        <v/>
      </c>
    </row>
    <row r="125" customFormat="false" ht="15" hidden="false" customHeight="false" outlineLevel="0" collapsed="false">
      <c r="A125" s="32"/>
      <c r="B125" s="32"/>
      <c r="C125" s="32"/>
      <c r="D125" s="32"/>
      <c r="E125" s="33"/>
      <c r="F125" s="33"/>
      <c r="G125" s="34"/>
      <c r="H125" s="34"/>
      <c r="I125" s="34"/>
      <c r="J125" s="34"/>
      <c r="K125" s="32"/>
      <c r="L125" s="35"/>
      <c r="M125" s="33"/>
      <c r="N125" s="33"/>
      <c r="O125" s="27" t="str">
        <f aca="false">IF(A125="","",MAX(E125-F125,0))</f>
        <v/>
      </c>
      <c r="P125" s="28" t="str">
        <f aca="false">IF(OR(A125="",I125=""),"",MAX(Settings!$B$4-I125,0))</f>
        <v/>
      </c>
      <c r="Q125" s="28" t="str">
        <f aca="false">IF(OR(A125="",J125=""),"",Settings!$B$4-J125)</f>
        <v/>
      </c>
      <c r="R125" s="29" t="str">
        <f aca="false">IF(A125="","",IF(OR(K125="Received",AND(E125&lt;&gt;"",O125=0)),"Closed",IF(AND(I125&lt;&gt;"",Settings!$B$4&gt;I125),"Late",IF(AND(H125&lt;&gt;"",Settings!$B$4&gt;H125,K125&lt;&gt;"Shipped"),"Ship overdue",IF(OR(K125="Delayed",AND(I125&lt;&gt;"",I125-Settings!$B$4&lt;=Settings!$B$5,K125&lt;&gt;"Shipped")),"At risk",IF(AND(Q125&lt;&gt;"",Q125&gt;Settings!$B$6),"Stale","On track"))))))</f>
        <v/>
      </c>
      <c r="S125" s="29" t="str">
        <f aca="false">IF(R125="","",IF(R125="Late","Ask for a new ETA and tracking number",IF(R125="Ship overdue","Ask why it hasn't shipped; get a firm ship date",IF(R125="At risk","Confirm the ship date this week",IF(R125="Stale","Request a status update",IF(R125="Closed","-","No action needed"))))))</f>
        <v/>
      </c>
      <c r="T125" s="30" t="str">
        <f aca="false">IF(OR(A125="",N125="",M125=""),"",IF(N125=0,"",M125/N125))</f>
        <v/>
      </c>
      <c r="U125" s="29" t="str">
        <f aca="false">IF(OR(T125="",I125="",R125="Closed"),"",IF(R125="Late","ETA passed: "&amp;ROUND(T125,0)&amp;" days of stock left",IF(Settings!$B$4+T125&lt;I125,"YES: "&amp;ROUND(I125-(Settings!$B$4+T125),0)&amp;" days short","No")))</f>
        <v/>
      </c>
      <c r="V125" s="31" t="str">
        <f aca="false">IF(R125="","",IF(OR(R125="Late",R125="Ship overdue",R125="Stale"),Settings!$B$4,IF(R125="At risk",Settings!$B$4+2,"")))</f>
        <v/>
      </c>
    </row>
    <row r="126" customFormat="false" ht="15" hidden="false" customHeight="false" outlineLevel="0" collapsed="false">
      <c r="A126" s="32"/>
      <c r="B126" s="32"/>
      <c r="C126" s="32"/>
      <c r="D126" s="32"/>
      <c r="E126" s="33"/>
      <c r="F126" s="33"/>
      <c r="G126" s="34"/>
      <c r="H126" s="34"/>
      <c r="I126" s="34"/>
      <c r="J126" s="34"/>
      <c r="K126" s="32"/>
      <c r="L126" s="35"/>
      <c r="M126" s="33"/>
      <c r="N126" s="33"/>
      <c r="O126" s="27" t="str">
        <f aca="false">IF(A126="","",MAX(E126-F126,0))</f>
        <v/>
      </c>
      <c r="P126" s="28" t="str">
        <f aca="false">IF(OR(A126="",I126=""),"",MAX(Settings!$B$4-I126,0))</f>
        <v/>
      </c>
      <c r="Q126" s="28" t="str">
        <f aca="false">IF(OR(A126="",J126=""),"",Settings!$B$4-J126)</f>
        <v/>
      </c>
      <c r="R126" s="29" t="str">
        <f aca="false">IF(A126="","",IF(OR(K126="Received",AND(E126&lt;&gt;"",O126=0)),"Closed",IF(AND(I126&lt;&gt;"",Settings!$B$4&gt;I126),"Late",IF(AND(H126&lt;&gt;"",Settings!$B$4&gt;H126,K126&lt;&gt;"Shipped"),"Ship overdue",IF(OR(K126="Delayed",AND(I126&lt;&gt;"",I126-Settings!$B$4&lt;=Settings!$B$5,K126&lt;&gt;"Shipped")),"At risk",IF(AND(Q126&lt;&gt;"",Q126&gt;Settings!$B$6),"Stale","On track"))))))</f>
        <v/>
      </c>
      <c r="S126" s="29" t="str">
        <f aca="false">IF(R126="","",IF(R126="Late","Ask for a new ETA and tracking number",IF(R126="Ship overdue","Ask why it hasn't shipped; get a firm ship date",IF(R126="At risk","Confirm the ship date this week",IF(R126="Stale","Request a status update",IF(R126="Closed","-","No action needed"))))))</f>
        <v/>
      </c>
      <c r="T126" s="30" t="str">
        <f aca="false">IF(OR(A126="",N126="",M126=""),"",IF(N126=0,"",M126/N126))</f>
        <v/>
      </c>
      <c r="U126" s="29" t="str">
        <f aca="false">IF(OR(T126="",I126="",R126="Closed"),"",IF(R126="Late","ETA passed: "&amp;ROUND(T126,0)&amp;" days of stock left",IF(Settings!$B$4+T126&lt;I126,"YES: "&amp;ROUND(I126-(Settings!$B$4+T126),0)&amp;" days short","No")))</f>
        <v/>
      </c>
      <c r="V126" s="31" t="str">
        <f aca="false">IF(R126="","",IF(OR(R126="Late",R126="Ship overdue",R126="Stale"),Settings!$B$4,IF(R126="At risk",Settings!$B$4+2,"")))</f>
        <v/>
      </c>
    </row>
    <row r="127" customFormat="false" ht="15" hidden="false" customHeight="false" outlineLevel="0" collapsed="false">
      <c r="A127" s="32"/>
      <c r="B127" s="32"/>
      <c r="C127" s="32"/>
      <c r="D127" s="32"/>
      <c r="E127" s="33"/>
      <c r="F127" s="33"/>
      <c r="G127" s="34"/>
      <c r="H127" s="34"/>
      <c r="I127" s="34"/>
      <c r="J127" s="34"/>
      <c r="K127" s="32"/>
      <c r="L127" s="35"/>
      <c r="M127" s="33"/>
      <c r="N127" s="33"/>
      <c r="O127" s="27" t="str">
        <f aca="false">IF(A127="","",MAX(E127-F127,0))</f>
        <v/>
      </c>
      <c r="P127" s="28" t="str">
        <f aca="false">IF(OR(A127="",I127=""),"",MAX(Settings!$B$4-I127,0))</f>
        <v/>
      </c>
      <c r="Q127" s="28" t="str">
        <f aca="false">IF(OR(A127="",J127=""),"",Settings!$B$4-J127)</f>
        <v/>
      </c>
      <c r="R127" s="29" t="str">
        <f aca="false">IF(A127="","",IF(OR(K127="Received",AND(E127&lt;&gt;"",O127=0)),"Closed",IF(AND(I127&lt;&gt;"",Settings!$B$4&gt;I127),"Late",IF(AND(H127&lt;&gt;"",Settings!$B$4&gt;H127,K127&lt;&gt;"Shipped"),"Ship overdue",IF(OR(K127="Delayed",AND(I127&lt;&gt;"",I127-Settings!$B$4&lt;=Settings!$B$5,K127&lt;&gt;"Shipped")),"At risk",IF(AND(Q127&lt;&gt;"",Q127&gt;Settings!$B$6),"Stale","On track"))))))</f>
        <v/>
      </c>
      <c r="S127" s="29" t="str">
        <f aca="false">IF(R127="","",IF(R127="Late","Ask for a new ETA and tracking number",IF(R127="Ship overdue","Ask why it hasn't shipped; get a firm ship date",IF(R127="At risk","Confirm the ship date this week",IF(R127="Stale","Request a status update",IF(R127="Closed","-","No action needed"))))))</f>
        <v/>
      </c>
      <c r="T127" s="30" t="str">
        <f aca="false">IF(OR(A127="",N127="",M127=""),"",IF(N127=0,"",M127/N127))</f>
        <v/>
      </c>
      <c r="U127" s="29" t="str">
        <f aca="false">IF(OR(T127="",I127="",R127="Closed"),"",IF(R127="Late","ETA passed: "&amp;ROUND(T127,0)&amp;" days of stock left",IF(Settings!$B$4+T127&lt;I127,"YES: "&amp;ROUND(I127-(Settings!$B$4+T127),0)&amp;" days short","No")))</f>
        <v/>
      </c>
      <c r="V127" s="31" t="str">
        <f aca="false">IF(R127="","",IF(OR(R127="Late",R127="Ship overdue",R127="Stale"),Settings!$B$4,IF(R127="At risk",Settings!$B$4+2,"")))</f>
        <v/>
      </c>
    </row>
    <row r="128" customFormat="false" ht="15" hidden="false" customHeight="false" outlineLevel="0" collapsed="false">
      <c r="A128" s="32"/>
      <c r="B128" s="32"/>
      <c r="C128" s="32"/>
      <c r="D128" s="32"/>
      <c r="E128" s="33"/>
      <c r="F128" s="33"/>
      <c r="G128" s="34"/>
      <c r="H128" s="34"/>
      <c r="I128" s="34"/>
      <c r="J128" s="34"/>
      <c r="K128" s="32"/>
      <c r="L128" s="35"/>
      <c r="M128" s="33"/>
      <c r="N128" s="33"/>
      <c r="O128" s="27" t="str">
        <f aca="false">IF(A128="","",MAX(E128-F128,0))</f>
        <v/>
      </c>
      <c r="P128" s="28" t="str">
        <f aca="false">IF(OR(A128="",I128=""),"",MAX(Settings!$B$4-I128,0))</f>
        <v/>
      </c>
      <c r="Q128" s="28" t="str">
        <f aca="false">IF(OR(A128="",J128=""),"",Settings!$B$4-J128)</f>
        <v/>
      </c>
      <c r="R128" s="29" t="str">
        <f aca="false">IF(A128="","",IF(OR(K128="Received",AND(E128&lt;&gt;"",O128=0)),"Closed",IF(AND(I128&lt;&gt;"",Settings!$B$4&gt;I128),"Late",IF(AND(H128&lt;&gt;"",Settings!$B$4&gt;H128,K128&lt;&gt;"Shipped"),"Ship overdue",IF(OR(K128="Delayed",AND(I128&lt;&gt;"",I128-Settings!$B$4&lt;=Settings!$B$5,K128&lt;&gt;"Shipped")),"At risk",IF(AND(Q128&lt;&gt;"",Q128&gt;Settings!$B$6),"Stale","On track"))))))</f>
        <v/>
      </c>
      <c r="S128" s="29" t="str">
        <f aca="false">IF(R128="","",IF(R128="Late","Ask for a new ETA and tracking number",IF(R128="Ship overdue","Ask why it hasn't shipped; get a firm ship date",IF(R128="At risk","Confirm the ship date this week",IF(R128="Stale","Request a status update",IF(R128="Closed","-","No action needed"))))))</f>
        <v/>
      </c>
      <c r="T128" s="30" t="str">
        <f aca="false">IF(OR(A128="",N128="",M128=""),"",IF(N128=0,"",M128/N128))</f>
        <v/>
      </c>
      <c r="U128" s="29" t="str">
        <f aca="false">IF(OR(T128="",I128="",R128="Closed"),"",IF(R128="Late","ETA passed: "&amp;ROUND(T128,0)&amp;" days of stock left",IF(Settings!$B$4+T128&lt;I128,"YES: "&amp;ROUND(I128-(Settings!$B$4+T128),0)&amp;" days short","No")))</f>
        <v/>
      </c>
      <c r="V128" s="31" t="str">
        <f aca="false">IF(R128="","",IF(OR(R128="Late",R128="Ship overdue",R128="Stale"),Settings!$B$4,IF(R128="At risk",Settings!$B$4+2,"")))</f>
        <v/>
      </c>
    </row>
    <row r="129" customFormat="false" ht="15" hidden="false" customHeight="false" outlineLevel="0" collapsed="false">
      <c r="A129" s="32"/>
      <c r="B129" s="32"/>
      <c r="C129" s="32"/>
      <c r="D129" s="32"/>
      <c r="E129" s="33"/>
      <c r="F129" s="33"/>
      <c r="G129" s="34"/>
      <c r="H129" s="34"/>
      <c r="I129" s="34"/>
      <c r="J129" s="34"/>
      <c r="K129" s="32"/>
      <c r="L129" s="35"/>
      <c r="M129" s="33"/>
      <c r="N129" s="33"/>
      <c r="O129" s="27" t="str">
        <f aca="false">IF(A129="","",MAX(E129-F129,0))</f>
        <v/>
      </c>
      <c r="P129" s="28" t="str">
        <f aca="false">IF(OR(A129="",I129=""),"",MAX(Settings!$B$4-I129,0))</f>
        <v/>
      </c>
      <c r="Q129" s="28" t="str">
        <f aca="false">IF(OR(A129="",J129=""),"",Settings!$B$4-J129)</f>
        <v/>
      </c>
      <c r="R129" s="29" t="str">
        <f aca="false">IF(A129="","",IF(OR(K129="Received",AND(E129&lt;&gt;"",O129=0)),"Closed",IF(AND(I129&lt;&gt;"",Settings!$B$4&gt;I129),"Late",IF(AND(H129&lt;&gt;"",Settings!$B$4&gt;H129,K129&lt;&gt;"Shipped"),"Ship overdue",IF(OR(K129="Delayed",AND(I129&lt;&gt;"",I129-Settings!$B$4&lt;=Settings!$B$5,K129&lt;&gt;"Shipped")),"At risk",IF(AND(Q129&lt;&gt;"",Q129&gt;Settings!$B$6),"Stale","On track"))))))</f>
        <v/>
      </c>
      <c r="S129" s="29" t="str">
        <f aca="false">IF(R129="","",IF(R129="Late","Ask for a new ETA and tracking number",IF(R129="Ship overdue","Ask why it hasn't shipped; get a firm ship date",IF(R129="At risk","Confirm the ship date this week",IF(R129="Stale","Request a status update",IF(R129="Closed","-","No action needed"))))))</f>
        <v/>
      </c>
      <c r="T129" s="30" t="str">
        <f aca="false">IF(OR(A129="",N129="",M129=""),"",IF(N129=0,"",M129/N129))</f>
        <v/>
      </c>
      <c r="U129" s="29" t="str">
        <f aca="false">IF(OR(T129="",I129="",R129="Closed"),"",IF(R129="Late","ETA passed: "&amp;ROUND(T129,0)&amp;" days of stock left",IF(Settings!$B$4+T129&lt;I129,"YES: "&amp;ROUND(I129-(Settings!$B$4+T129),0)&amp;" days short","No")))</f>
        <v/>
      </c>
      <c r="V129" s="31" t="str">
        <f aca="false">IF(R129="","",IF(OR(R129="Late",R129="Ship overdue",R129="Stale"),Settings!$B$4,IF(R129="At risk",Settings!$B$4+2,"")))</f>
        <v/>
      </c>
    </row>
    <row r="130" customFormat="false" ht="15" hidden="false" customHeight="false" outlineLevel="0" collapsed="false">
      <c r="A130" s="32"/>
      <c r="B130" s="32"/>
      <c r="C130" s="32"/>
      <c r="D130" s="32"/>
      <c r="E130" s="33"/>
      <c r="F130" s="33"/>
      <c r="G130" s="34"/>
      <c r="H130" s="34"/>
      <c r="I130" s="34"/>
      <c r="J130" s="34"/>
      <c r="K130" s="32"/>
      <c r="L130" s="35"/>
      <c r="M130" s="33"/>
      <c r="N130" s="33"/>
      <c r="O130" s="27" t="str">
        <f aca="false">IF(A130="","",MAX(E130-F130,0))</f>
        <v/>
      </c>
      <c r="P130" s="28" t="str">
        <f aca="false">IF(OR(A130="",I130=""),"",MAX(Settings!$B$4-I130,0))</f>
        <v/>
      </c>
      <c r="Q130" s="28" t="str">
        <f aca="false">IF(OR(A130="",J130=""),"",Settings!$B$4-J130)</f>
        <v/>
      </c>
      <c r="R130" s="29" t="str">
        <f aca="false">IF(A130="","",IF(OR(K130="Received",AND(E130&lt;&gt;"",O130=0)),"Closed",IF(AND(I130&lt;&gt;"",Settings!$B$4&gt;I130),"Late",IF(AND(H130&lt;&gt;"",Settings!$B$4&gt;H130,K130&lt;&gt;"Shipped"),"Ship overdue",IF(OR(K130="Delayed",AND(I130&lt;&gt;"",I130-Settings!$B$4&lt;=Settings!$B$5,K130&lt;&gt;"Shipped")),"At risk",IF(AND(Q130&lt;&gt;"",Q130&gt;Settings!$B$6),"Stale","On track"))))))</f>
        <v/>
      </c>
      <c r="S130" s="29" t="str">
        <f aca="false">IF(R130="","",IF(R130="Late","Ask for a new ETA and tracking number",IF(R130="Ship overdue","Ask why it hasn't shipped; get a firm ship date",IF(R130="At risk","Confirm the ship date this week",IF(R130="Stale","Request a status update",IF(R130="Closed","-","No action needed"))))))</f>
        <v/>
      </c>
      <c r="T130" s="30" t="str">
        <f aca="false">IF(OR(A130="",N130="",M130=""),"",IF(N130=0,"",M130/N130))</f>
        <v/>
      </c>
      <c r="U130" s="29" t="str">
        <f aca="false">IF(OR(T130="",I130="",R130="Closed"),"",IF(R130="Late","ETA passed: "&amp;ROUND(T130,0)&amp;" days of stock left",IF(Settings!$B$4+T130&lt;I130,"YES: "&amp;ROUND(I130-(Settings!$B$4+T130),0)&amp;" days short","No")))</f>
        <v/>
      </c>
      <c r="V130" s="31" t="str">
        <f aca="false">IF(R130="","",IF(OR(R130="Late",R130="Ship overdue",R130="Stale"),Settings!$B$4,IF(R130="At risk",Settings!$B$4+2,"")))</f>
        <v/>
      </c>
    </row>
    <row r="131" customFormat="false" ht="15" hidden="false" customHeight="false" outlineLevel="0" collapsed="false">
      <c r="A131" s="32"/>
      <c r="B131" s="32"/>
      <c r="C131" s="32"/>
      <c r="D131" s="32"/>
      <c r="E131" s="33"/>
      <c r="F131" s="33"/>
      <c r="G131" s="34"/>
      <c r="H131" s="34"/>
      <c r="I131" s="34"/>
      <c r="J131" s="34"/>
      <c r="K131" s="32"/>
      <c r="L131" s="35"/>
      <c r="M131" s="33"/>
      <c r="N131" s="33"/>
      <c r="O131" s="27" t="str">
        <f aca="false">IF(A131="","",MAX(E131-F131,0))</f>
        <v/>
      </c>
      <c r="P131" s="28" t="str">
        <f aca="false">IF(OR(A131="",I131=""),"",MAX(Settings!$B$4-I131,0))</f>
        <v/>
      </c>
      <c r="Q131" s="28" t="str">
        <f aca="false">IF(OR(A131="",J131=""),"",Settings!$B$4-J131)</f>
        <v/>
      </c>
      <c r="R131" s="29" t="str">
        <f aca="false">IF(A131="","",IF(OR(K131="Received",AND(E131&lt;&gt;"",O131=0)),"Closed",IF(AND(I131&lt;&gt;"",Settings!$B$4&gt;I131),"Late",IF(AND(H131&lt;&gt;"",Settings!$B$4&gt;H131,K131&lt;&gt;"Shipped"),"Ship overdue",IF(OR(K131="Delayed",AND(I131&lt;&gt;"",I131-Settings!$B$4&lt;=Settings!$B$5,K131&lt;&gt;"Shipped")),"At risk",IF(AND(Q131&lt;&gt;"",Q131&gt;Settings!$B$6),"Stale","On track"))))))</f>
        <v/>
      </c>
      <c r="S131" s="29" t="str">
        <f aca="false">IF(R131="","",IF(R131="Late","Ask for a new ETA and tracking number",IF(R131="Ship overdue","Ask why it hasn't shipped; get a firm ship date",IF(R131="At risk","Confirm the ship date this week",IF(R131="Stale","Request a status update",IF(R131="Closed","-","No action needed"))))))</f>
        <v/>
      </c>
      <c r="T131" s="30" t="str">
        <f aca="false">IF(OR(A131="",N131="",M131=""),"",IF(N131=0,"",M131/N131))</f>
        <v/>
      </c>
      <c r="U131" s="29" t="str">
        <f aca="false">IF(OR(T131="",I131="",R131="Closed"),"",IF(R131="Late","ETA passed: "&amp;ROUND(T131,0)&amp;" days of stock left",IF(Settings!$B$4+T131&lt;I131,"YES: "&amp;ROUND(I131-(Settings!$B$4+T131),0)&amp;" days short","No")))</f>
        <v/>
      </c>
      <c r="V131" s="31" t="str">
        <f aca="false">IF(R131="","",IF(OR(R131="Late",R131="Ship overdue",R131="Stale"),Settings!$B$4,IF(R131="At risk",Settings!$B$4+2,"")))</f>
        <v/>
      </c>
    </row>
    <row r="132" customFormat="false" ht="15" hidden="false" customHeight="false" outlineLevel="0" collapsed="false">
      <c r="A132" s="32"/>
      <c r="B132" s="32"/>
      <c r="C132" s="32"/>
      <c r="D132" s="32"/>
      <c r="E132" s="33"/>
      <c r="F132" s="33"/>
      <c r="G132" s="34"/>
      <c r="H132" s="34"/>
      <c r="I132" s="34"/>
      <c r="J132" s="34"/>
      <c r="K132" s="32"/>
      <c r="L132" s="35"/>
      <c r="M132" s="33"/>
      <c r="N132" s="33"/>
      <c r="O132" s="27" t="str">
        <f aca="false">IF(A132="","",MAX(E132-F132,0))</f>
        <v/>
      </c>
      <c r="P132" s="28" t="str">
        <f aca="false">IF(OR(A132="",I132=""),"",MAX(Settings!$B$4-I132,0))</f>
        <v/>
      </c>
      <c r="Q132" s="28" t="str">
        <f aca="false">IF(OR(A132="",J132=""),"",Settings!$B$4-J132)</f>
        <v/>
      </c>
      <c r="R132" s="29" t="str">
        <f aca="false">IF(A132="","",IF(OR(K132="Received",AND(E132&lt;&gt;"",O132=0)),"Closed",IF(AND(I132&lt;&gt;"",Settings!$B$4&gt;I132),"Late",IF(AND(H132&lt;&gt;"",Settings!$B$4&gt;H132,K132&lt;&gt;"Shipped"),"Ship overdue",IF(OR(K132="Delayed",AND(I132&lt;&gt;"",I132-Settings!$B$4&lt;=Settings!$B$5,K132&lt;&gt;"Shipped")),"At risk",IF(AND(Q132&lt;&gt;"",Q132&gt;Settings!$B$6),"Stale","On track"))))))</f>
        <v/>
      </c>
      <c r="S132" s="29" t="str">
        <f aca="false">IF(R132="","",IF(R132="Late","Ask for a new ETA and tracking number",IF(R132="Ship overdue","Ask why it hasn't shipped; get a firm ship date",IF(R132="At risk","Confirm the ship date this week",IF(R132="Stale","Request a status update",IF(R132="Closed","-","No action needed"))))))</f>
        <v/>
      </c>
      <c r="T132" s="30" t="str">
        <f aca="false">IF(OR(A132="",N132="",M132=""),"",IF(N132=0,"",M132/N132))</f>
        <v/>
      </c>
      <c r="U132" s="29" t="str">
        <f aca="false">IF(OR(T132="",I132="",R132="Closed"),"",IF(R132="Late","ETA passed: "&amp;ROUND(T132,0)&amp;" days of stock left",IF(Settings!$B$4+T132&lt;I132,"YES: "&amp;ROUND(I132-(Settings!$B$4+T132),0)&amp;" days short","No")))</f>
        <v/>
      </c>
      <c r="V132" s="31" t="str">
        <f aca="false">IF(R132="","",IF(OR(R132="Late",R132="Ship overdue",R132="Stale"),Settings!$B$4,IF(R132="At risk",Settings!$B$4+2,"")))</f>
        <v/>
      </c>
    </row>
    <row r="133" customFormat="false" ht="15" hidden="false" customHeight="false" outlineLevel="0" collapsed="false">
      <c r="A133" s="32"/>
      <c r="B133" s="32"/>
      <c r="C133" s="32"/>
      <c r="D133" s="32"/>
      <c r="E133" s="33"/>
      <c r="F133" s="33"/>
      <c r="G133" s="34"/>
      <c r="H133" s="34"/>
      <c r="I133" s="34"/>
      <c r="J133" s="34"/>
      <c r="K133" s="32"/>
      <c r="L133" s="35"/>
      <c r="M133" s="33"/>
      <c r="N133" s="33"/>
      <c r="O133" s="27" t="str">
        <f aca="false">IF(A133="","",MAX(E133-F133,0))</f>
        <v/>
      </c>
      <c r="P133" s="28" t="str">
        <f aca="false">IF(OR(A133="",I133=""),"",MAX(Settings!$B$4-I133,0))</f>
        <v/>
      </c>
      <c r="Q133" s="28" t="str">
        <f aca="false">IF(OR(A133="",J133=""),"",Settings!$B$4-J133)</f>
        <v/>
      </c>
      <c r="R133" s="29" t="str">
        <f aca="false">IF(A133="","",IF(OR(K133="Received",AND(E133&lt;&gt;"",O133=0)),"Closed",IF(AND(I133&lt;&gt;"",Settings!$B$4&gt;I133),"Late",IF(AND(H133&lt;&gt;"",Settings!$B$4&gt;H133,K133&lt;&gt;"Shipped"),"Ship overdue",IF(OR(K133="Delayed",AND(I133&lt;&gt;"",I133-Settings!$B$4&lt;=Settings!$B$5,K133&lt;&gt;"Shipped")),"At risk",IF(AND(Q133&lt;&gt;"",Q133&gt;Settings!$B$6),"Stale","On track"))))))</f>
        <v/>
      </c>
      <c r="S133" s="29" t="str">
        <f aca="false">IF(R133="","",IF(R133="Late","Ask for a new ETA and tracking number",IF(R133="Ship overdue","Ask why it hasn't shipped; get a firm ship date",IF(R133="At risk","Confirm the ship date this week",IF(R133="Stale","Request a status update",IF(R133="Closed","-","No action needed"))))))</f>
        <v/>
      </c>
      <c r="T133" s="30" t="str">
        <f aca="false">IF(OR(A133="",N133="",M133=""),"",IF(N133=0,"",M133/N133))</f>
        <v/>
      </c>
      <c r="U133" s="29" t="str">
        <f aca="false">IF(OR(T133="",I133="",R133="Closed"),"",IF(R133="Late","ETA passed: "&amp;ROUND(T133,0)&amp;" days of stock left",IF(Settings!$B$4+T133&lt;I133,"YES: "&amp;ROUND(I133-(Settings!$B$4+T133),0)&amp;" days short","No")))</f>
        <v/>
      </c>
      <c r="V133" s="31" t="str">
        <f aca="false">IF(R133="","",IF(OR(R133="Late",R133="Ship overdue",R133="Stale"),Settings!$B$4,IF(R133="At risk",Settings!$B$4+2,"")))</f>
        <v/>
      </c>
    </row>
    <row r="134" customFormat="false" ht="15" hidden="false" customHeight="false" outlineLevel="0" collapsed="false">
      <c r="A134" s="32"/>
      <c r="B134" s="32"/>
      <c r="C134" s="32"/>
      <c r="D134" s="32"/>
      <c r="E134" s="33"/>
      <c r="F134" s="33"/>
      <c r="G134" s="34"/>
      <c r="H134" s="34"/>
      <c r="I134" s="34"/>
      <c r="J134" s="34"/>
      <c r="K134" s="32"/>
      <c r="L134" s="35"/>
      <c r="M134" s="33"/>
      <c r="N134" s="33"/>
      <c r="O134" s="27" t="str">
        <f aca="false">IF(A134="","",MAX(E134-F134,0))</f>
        <v/>
      </c>
      <c r="P134" s="28" t="str">
        <f aca="false">IF(OR(A134="",I134=""),"",MAX(Settings!$B$4-I134,0))</f>
        <v/>
      </c>
      <c r="Q134" s="28" t="str">
        <f aca="false">IF(OR(A134="",J134=""),"",Settings!$B$4-J134)</f>
        <v/>
      </c>
      <c r="R134" s="29" t="str">
        <f aca="false">IF(A134="","",IF(OR(K134="Received",AND(E134&lt;&gt;"",O134=0)),"Closed",IF(AND(I134&lt;&gt;"",Settings!$B$4&gt;I134),"Late",IF(AND(H134&lt;&gt;"",Settings!$B$4&gt;H134,K134&lt;&gt;"Shipped"),"Ship overdue",IF(OR(K134="Delayed",AND(I134&lt;&gt;"",I134-Settings!$B$4&lt;=Settings!$B$5,K134&lt;&gt;"Shipped")),"At risk",IF(AND(Q134&lt;&gt;"",Q134&gt;Settings!$B$6),"Stale","On track"))))))</f>
        <v/>
      </c>
      <c r="S134" s="29" t="str">
        <f aca="false">IF(R134="","",IF(R134="Late","Ask for a new ETA and tracking number",IF(R134="Ship overdue","Ask why it hasn't shipped; get a firm ship date",IF(R134="At risk","Confirm the ship date this week",IF(R134="Stale","Request a status update",IF(R134="Closed","-","No action needed"))))))</f>
        <v/>
      </c>
      <c r="T134" s="30" t="str">
        <f aca="false">IF(OR(A134="",N134="",M134=""),"",IF(N134=0,"",M134/N134))</f>
        <v/>
      </c>
      <c r="U134" s="29" t="str">
        <f aca="false">IF(OR(T134="",I134="",R134="Closed"),"",IF(R134="Late","ETA passed: "&amp;ROUND(T134,0)&amp;" days of stock left",IF(Settings!$B$4+T134&lt;I134,"YES: "&amp;ROUND(I134-(Settings!$B$4+T134),0)&amp;" days short","No")))</f>
        <v/>
      </c>
      <c r="V134" s="31" t="str">
        <f aca="false">IF(R134="","",IF(OR(R134="Late",R134="Ship overdue",R134="Stale"),Settings!$B$4,IF(R134="At risk",Settings!$B$4+2,"")))</f>
        <v/>
      </c>
    </row>
    <row r="135" customFormat="false" ht="15" hidden="false" customHeight="false" outlineLevel="0" collapsed="false">
      <c r="A135" s="32"/>
      <c r="B135" s="32"/>
      <c r="C135" s="32"/>
      <c r="D135" s="32"/>
      <c r="E135" s="33"/>
      <c r="F135" s="33"/>
      <c r="G135" s="34"/>
      <c r="H135" s="34"/>
      <c r="I135" s="34"/>
      <c r="J135" s="34"/>
      <c r="K135" s="32"/>
      <c r="L135" s="35"/>
      <c r="M135" s="33"/>
      <c r="N135" s="33"/>
      <c r="O135" s="27" t="str">
        <f aca="false">IF(A135="","",MAX(E135-F135,0))</f>
        <v/>
      </c>
      <c r="P135" s="28" t="str">
        <f aca="false">IF(OR(A135="",I135=""),"",MAX(Settings!$B$4-I135,0))</f>
        <v/>
      </c>
      <c r="Q135" s="28" t="str">
        <f aca="false">IF(OR(A135="",J135=""),"",Settings!$B$4-J135)</f>
        <v/>
      </c>
      <c r="R135" s="29" t="str">
        <f aca="false">IF(A135="","",IF(OR(K135="Received",AND(E135&lt;&gt;"",O135=0)),"Closed",IF(AND(I135&lt;&gt;"",Settings!$B$4&gt;I135),"Late",IF(AND(H135&lt;&gt;"",Settings!$B$4&gt;H135,K135&lt;&gt;"Shipped"),"Ship overdue",IF(OR(K135="Delayed",AND(I135&lt;&gt;"",I135-Settings!$B$4&lt;=Settings!$B$5,K135&lt;&gt;"Shipped")),"At risk",IF(AND(Q135&lt;&gt;"",Q135&gt;Settings!$B$6),"Stale","On track"))))))</f>
        <v/>
      </c>
      <c r="S135" s="29" t="str">
        <f aca="false">IF(R135="","",IF(R135="Late","Ask for a new ETA and tracking number",IF(R135="Ship overdue","Ask why it hasn't shipped; get a firm ship date",IF(R135="At risk","Confirm the ship date this week",IF(R135="Stale","Request a status update",IF(R135="Closed","-","No action needed"))))))</f>
        <v/>
      </c>
      <c r="T135" s="30" t="str">
        <f aca="false">IF(OR(A135="",N135="",M135=""),"",IF(N135=0,"",M135/N135))</f>
        <v/>
      </c>
      <c r="U135" s="29" t="str">
        <f aca="false">IF(OR(T135="",I135="",R135="Closed"),"",IF(R135="Late","ETA passed: "&amp;ROUND(T135,0)&amp;" days of stock left",IF(Settings!$B$4+T135&lt;I135,"YES: "&amp;ROUND(I135-(Settings!$B$4+T135),0)&amp;" days short","No")))</f>
        <v/>
      </c>
      <c r="V135" s="31" t="str">
        <f aca="false">IF(R135="","",IF(OR(R135="Late",R135="Ship overdue",R135="Stale"),Settings!$B$4,IF(R135="At risk",Settings!$B$4+2,"")))</f>
        <v/>
      </c>
    </row>
    <row r="136" customFormat="false" ht="15" hidden="false" customHeight="false" outlineLevel="0" collapsed="false">
      <c r="A136" s="32"/>
      <c r="B136" s="32"/>
      <c r="C136" s="32"/>
      <c r="D136" s="32"/>
      <c r="E136" s="33"/>
      <c r="F136" s="33"/>
      <c r="G136" s="34"/>
      <c r="H136" s="34"/>
      <c r="I136" s="34"/>
      <c r="J136" s="34"/>
      <c r="K136" s="32"/>
      <c r="L136" s="35"/>
      <c r="M136" s="33"/>
      <c r="N136" s="33"/>
      <c r="O136" s="27" t="str">
        <f aca="false">IF(A136="","",MAX(E136-F136,0))</f>
        <v/>
      </c>
      <c r="P136" s="28" t="str">
        <f aca="false">IF(OR(A136="",I136=""),"",MAX(Settings!$B$4-I136,0))</f>
        <v/>
      </c>
      <c r="Q136" s="28" t="str">
        <f aca="false">IF(OR(A136="",J136=""),"",Settings!$B$4-J136)</f>
        <v/>
      </c>
      <c r="R136" s="29" t="str">
        <f aca="false">IF(A136="","",IF(OR(K136="Received",AND(E136&lt;&gt;"",O136=0)),"Closed",IF(AND(I136&lt;&gt;"",Settings!$B$4&gt;I136),"Late",IF(AND(H136&lt;&gt;"",Settings!$B$4&gt;H136,K136&lt;&gt;"Shipped"),"Ship overdue",IF(OR(K136="Delayed",AND(I136&lt;&gt;"",I136-Settings!$B$4&lt;=Settings!$B$5,K136&lt;&gt;"Shipped")),"At risk",IF(AND(Q136&lt;&gt;"",Q136&gt;Settings!$B$6),"Stale","On track"))))))</f>
        <v/>
      </c>
      <c r="S136" s="29" t="str">
        <f aca="false">IF(R136="","",IF(R136="Late","Ask for a new ETA and tracking number",IF(R136="Ship overdue","Ask why it hasn't shipped; get a firm ship date",IF(R136="At risk","Confirm the ship date this week",IF(R136="Stale","Request a status update",IF(R136="Closed","-","No action needed"))))))</f>
        <v/>
      </c>
      <c r="T136" s="30" t="str">
        <f aca="false">IF(OR(A136="",N136="",M136=""),"",IF(N136=0,"",M136/N136))</f>
        <v/>
      </c>
      <c r="U136" s="29" t="str">
        <f aca="false">IF(OR(T136="",I136="",R136="Closed"),"",IF(R136="Late","ETA passed: "&amp;ROUND(T136,0)&amp;" days of stock left",IF(Settings!$B$4+T136&lt;I136,"YES: "&amp;ROUND(I136-(Settings!$B$4+T136),0)&amp;" days short","No")))</f>
        <v/>
      </c>
      <c r="V136" s="31" t="str">
        <f aca="false">IF(R136="","",IF(OR(R136="Late",R136="Ship overdue",R136="Stale"),Settings!$B$4,IF(R136="At risk",Settings!$B$4+2,"")))</f>
        <v/>
      </c>
    </row>
    <row r="137" customFormat="false" ht="15" hidden="false" customHeight="false" outlineLevel="0" collapsed="false">
      <c r="A137" s="32"/>
      <c r="B137" s="32"/>
      <c r="C137" s="32"/>
      <c r="D137" s="32"/>
      <c r="E137" s="33"/>
      <c r="F137" s="33"/>
      <c r="G137" s="34"/>
      <c r="H137" s="34"/>
      <c r="I137" s="34"/>
      <c r="J137" s="34"/>
      <c r="K137" s="32"/>
      <c r="L137" s="35"/>
      <c r="M137" s="33"/>
      <c r="N137" s="33"/>
      <c r="O137" s="27" t="str">
        <f aca="false">IF(A137="","",MAX(E137-F137,0))</f>
        <v/>
      </c>
      <c r="P137" s="28" t="str">
        <f aca="false">IF(OR(A137="",I137=""),"",MAX(Settings!$B$4-I137,0))</f>
        <v/>
      </c>
      <c r="Q137" s="28" t="str">
        <f aca="false">IF(OR(A137="",J137=""),"",Settings!$B$4-J137)</f>
        <v/>
      </c>
      <c r="R137" s="29" t="str">
        <f aca="false">IF(A137="","",IF(OR(K137="Received",AND(E137&lt;&gt;"",O137=0)),"Closed",IF(AND(I137&lt;&gt;"",Settings!$B$4&gt;I137),"Late",IF(AND(H137&lt;&gt;"",Settings!$B$4&gt;H137,K137&lt;&gt;"Shipped"),"Ship overdue",IF(OR(K137="Delayed",AND(I137&lt;&gt;"",I137-Settings!$B$4&lt;=Settings!$B$5,K137&lt;&gt;"Shipped")),"At risk",IF(AND(Q137&lt;&gt;"",Q137&gt;Settings!$B$6),"Stale","On track"))))))</f>
        <v/>
      </c>
      <c r="S137" s="29" t="str">
        <f aca="false">IF(R137="","",IF(R137="Late","Ask for a new ETA and tracking number",IF(R137="Ship overdue","Ask why it hasn't shipped; get a firm ship date",IF(R137="At risk","Confirm the ship date this week",IF(R137="Stale","Request a status update",IF(R137="Closed","-","No action needed"))))))</f>
        <v/>
      </c>
      <c r="T137" s="30" t="str">
        <f aca="false">IF(OR(A137="",N137="",M137=""),"",IF(N137=0,"",M137/N137))</f>
        <v/>
      </c>
      <c r="U137" s="29" t="str">
        <f aca="false">IF(OR(T137="",I137="",R137="Closed"),"",IF(R137="Late","ETA passed: "&amp;ROUND(T137,0)&amp;" days of stock left",IF(Settings!$B$4+T137&lt;I137,"YES: "&amp;ROUND(I137-(Settings!$B$4+T137),0)&amp;" days short","No")))</f>
        <v/>
      </c>
      <c r="V137" s="31" t="str">
        <f aca="false">IF(R137="","",IF(OR(R137="Late",R137="Ship overdue",R137="Stale"),Settings!$B$4,IF(R137="At risk",Settings!$B$4+2,"")))</f>
        <v/>
      </c>
    </row>
    <row r="138" customFormat="false" ht="15" hidden="false" customHeight="false" outlineLevel="0" collapsed="false">
      <c r="A138" s="32"/>
      <c r="B138" s="32"/>
      <c r="C138" s="32"/>
      <c r="D138" s="32"/>
      <c r="E138" s="33"/>
      <c r="F138" s="33"/>
      <c r="G138" s="34"/>
      <c r="H138" s="34"/>
      <c r="I138" s="34"/>
      <c r="J138" s="34"/>
      <c r="K138" s="32"/>
      <c r="L138" s="35"/>
      <c r="M138" s="33"/>
      <c r="N138" s="33"/>
      <c r="O138" s="27" t="str">
        <f aca="false">IF(A138="","",MAX(E138-F138,0))</f>
        <v/>
      </c>
      <c r="P138" s="28" t="str">
        <f aca="false">IF(OR(A138="",I138=""),"",MAX(Settings!$B$4-I138,0))</f>
        <v/>
      </c>
      <c r="Q138" s="28" t="str">
        <f aca="false">IF(OR(A138="",J138=""),"",Settings!$B$4-J138)</f>
        <v/>
      </c>
      <c r="R138" s="29" t="str">
        <f aca="false">IF(A138="","",IF(OR(K138="Received",AND(E138&lt;&gt;"",O138=0)),"Closed",IF(AND(I138&lt;&gt;"",Settings!$B$4&gt;I138),"Late",IF(AND(H138&lt;&gt;"",Settings!$B$4&gt;H138,K138&lt;&gt;"Shipped"),"Ship overdue",IF(OR(K138="Delayed",AND(I138&lt;&gt;"",I138-Settings!$B$4&lt;=Settings!$B$5,K138&lt;&gt;"Shipped")),"At risk",IF(AND(Q138&lt;&gt;"",Q138&gt;Settings!$B$6),"Stale","On track"))))))</f>
        <v/>
      </c>
      <c r="S138" s="29" t="str">
        <f aca="false">IF(R138="","",IF(R138="Late","Ask for a new ETA and tracking number",IF(R138="Ship overdue","Ask why it hasn't shipped; get a firm ship date",IF(R138="At risk","Confirm the ship date this week",IF(R138="Stale","Request a status update",IF(R138="Closed","-","No action needed"))))))</f>
        <v/>
      </c>
      <c r="T138" s="30" t="str">
        <f aca="false">IF(OR(A138="",N138="",M138=""),"",IF(N138=0,"",M138/N138))</f>
        <v/>
      </c>
      <c r="U138" s="29" t="str">
        <f aca="false">IF(OR(T138="",I138="",R138="Closed"),"",IF(R138="Late","ETA passed: "&amp;ROUND(T138,0)&amp;" days of stock left",IF(Settings!$B$4+T138&lt;I138,"YES: "&amp;ROUND(I138-(Settings!$B$4+T138),0)&amp;" days short","No")))</f>
        <v/>
      </c>
      <c r="V138" s="31" t="str">
        <f aca="false">IF(R138="","",IF(OR(R138="Late",R138="Ship overdue",R138="Stale"),Settings!$B$4,IF(R138="At risk",Settings!$B$4+2,"")))</f>
        <v/>
      </c>
    </row>
    <row r="139" customFormat="false" ht="15" hidden="false" customHeight="false" outlineLevel="0" collapsed="false">
      <c r="A139" s="32"/>
      <c r="B139" s="32"/>
      <c r="C139" s="32"/>
      <c r="D139" s="32"/>
      <c r="E139" s="33"/>
      <c r="F139" s="33"/>
      <c r="G139" s="34"/>
      <c r="H139" s="34"/>
      <c r="I139" s="34"/>
      <c r="J139" s="34"/>
      <c r="K139" s="32"/>
      <c r="L139" s="35"/>
      <c r="M139" s="33"/>
      <c r="N139" s="33"/>
      <c r="O139" s="27" t="str">
        <f aca="false">IF(A139="","",MAX(E139-F139,0))</f>
        <v/>
      </c>
      <c r="P139" s="28" t="str">
        <f aca="false">IF(OR(A139="",I139=""),"",MAX(Settings!$B$4-I139,0))</f>
        <v/>
      </c>
      <c r="Q139" s="28" t="str">
        <f aca="false">IF(OR(A139="",J139=""),"",Settings!$B$4-J139)</f>
        <v/>
      </c>
      <c r="R139" s="29" t="str">
        <f aca="false">IF(A139="","",IF(OR(K139="Received",AND(E139&lt;&gt;"",O139=0)),"Closed",IF(AND(I139&lt;&gt;"",Settings!$B$4&gt;I139),"Late",IF(AND(H139&lt;&gt;"",Settings!$B$4&gt;H139,K139&lt;&gt;"Shipped"),"Ship overdue",IF(OR(K139="Delayed",AND(I139&lt;&gt;"",I139-Settings!$B$4&lt;=Settings!$B$5,K139&lt;&gt;"Shipped")),"At risk",IF(AND(Q139&lt;&gt;"",Q139&gt;Settings!$B$6),"Stale","On track"))))))</f>
        <v/>
      </c>
      <c r="S139" s="29" t="str">
        <f aca="false">IF(R139="","",IF(R139="Late","Ask for a new ETA and tracking number",IF(R139="Ship overdue","Ask why it hasn't shipped; get a firm ship date",IF(R139="At risk","Confirm the ship date this week",IF(R139="Stale","Request a status update",IF(R139="Closed","-","No action needed"))))))</f>
        <v/>
      </c>
      <c r="T139" s="30" t="str">
        <f aca="false">IF(OR(A139="",N139="",M139=""),"",IF(N139=0,"",M139/N139))</f>
        <v/>
      </c>
      <c r="U139" s="29" t="str">
        <f aca="false">IF(OR(T139="",I139="",R139="Closed"),"",IF(R139="Late","ETA passed: "&amp;ROUND(T139,0)&amp;" days of stock left",IF(Settings!$B$4+T139&lt;I139,"YES: "&amp;ROUND(I139-(Settings!$B$4+T139),0)&amp;" days short","No")))</f>
        <v/>
      </c>
      <c r="V139" s="31" t="str">
        <f aca="false">IF(R139="","",IF(OR(R139="Late",R139="Ship overdue",R139="Stale"),Settings!$B$4,IF(R139="At risk",Settings!$B$4+2,"")))</f>
        <v/>
      </c>
    </row>
    <row r="140" customFormat="false" ht="15" hidden="false" customHeight="false" outlineLevel="0" collapsed="false">
      <c r="A140" s="32"/>
      <c r="B140" s="32"/>
      <c r="C140" s="32"/>
      <c r="D140" s="32"/>
      <c r="E140" s="33"/>
      <c r="F140" s="33"/>
      <c r="G140" s="34"/>
      <c r="H140" s="34"/>
      <c r="I140" s="34"/>
      <c r="J140" s="34"/>
      <c r="K140" s="32"/>
      <c r="L140" s="35"/>
      <c r="M140" s="33"/>
      <c r="N140" s="33"/>
      <c r="O140" s="27" t="str">
        <f aca="false">IF(A140="","",MAX(E140-F140,0))</f>
        <v/>
      </c>
      <c r="P140" s="28" t="str">
        <f aca="false">IF(OR(A140="",I140=""),"",MAX(Settings!$B$4-I140,0))</f>
        <v/>
      </c>
      <c r="Q140" s="28" t="str">
        <f aca="false">IF(OR(A140="",J140=""),"",Settings!$B$4-J140)</f>
        <v/>
      </c>
      <c r="R140" s="29" t="str">
        <f aca="false">IF(A140="","",IF(OR(K140="Received",AND(E140&lt;&gt;"",O140=0)),"Closed",IF(AND(I140&lt;&gt;"",Settings!$B$4&gt;I140),"Late",IF(AND(H140&lt;&gt;"",Settings!$B$4&gt;H140,K140&lt;&gt;"Shipped"),"Ship overdue",IF(OR(K140="Delayed",AND(I140&lt;&gt;"",I140-Settings!$B$4&lt;=Settings!$B$5,K140&lt;&gt;"Shipped")),"At risk",IF(AND(Q140&lt;&gt;"",Q140&gt;Settings!$B$6),"Stale","On track"))))))</f>
        <v/>
      </c>
      <c r="S140" s="29" t="str">
        <f aca="false">IF(R140="","",IF(R140="Late","Ask for a new ETA and tracking number",IF(R140="Ship overdue","Ask why it hasn't shipped; get a firm ship date",IF(R140="At risk","Confirm the ship date this week",IF(R140="Stale","Request a status update",IF(R140="Closed","-","No action needed"))))))</f>
        <v/>
      </c>
      <c r="T140" s="30" t="str">
        <f aca="false">IF(OR(A140="",N140="",M140=""),"",IF(N140=0,"",M140/N140))</f>
        <v/>
      </c>
      <c r="U140" s="29" t="str">
        <f aca="false">IF(OR(T140="",I140="",R140="Closed"),"",IF(R140="Late","ETA passed: "&amp;ROUND(T140,0)&amp;" days of stock left",IF(Settings!$B$4+T140&lt;I140,"YES: "&amp;ROUND(I140-(Settings!$B$4+T140),0)&amp;" days short","No")))</f>
        <v/>
      </c>
      <c r="V140" s="31" t="str">
        <f aca="false">IF(R140="","",IF(OR(R140="Late",R140="Ship overdue",R140="Stale"),Settings!$B$4,IF(R140="At risk",Settings!$B$4+2,"")))</f>
        <v/>
      </c>
    </row>
    <row r="141" customFormat="false" ht="15" hidden="false" customHeight="false" outlineLevel="0" collapsed="false">
      <c r="A141" s="32"/>
      <c r="B141" s="32"/>
      <c r="C141" s="32"/>
      <c r="D141" s="32"/>
      <c r="E141" s="33"/>
      <c r="F141" s="33"/>
      <c r="G141" s="34"/>
      <c r="H141" s="34"/>
      <c r="I141" s="34"/>
      <c r="J141" s="34"/>
      <c r="K141" s="32"/>
      <c r="L141" s="35"/>
      <c r="M141" s="33"/>
      <c r="N141" s="33"/>
      <c r="O141" s="27" t="str">
        <f aca="false">IF(A141="","",MAX(E141-F141,0))</f>
        <v/>
      </c>
      <c r="P141" s="28" t="str">
        <f aca="false">IF(OR(A141="",I141=""),"",MAX(Settings!$B$4-I141,0))</f>
        <v/>
      </c>
      <c r="Q141" s="28" t="str">
        <f aca="false">IF(OR(A141="",J141=""),"",Settings!$B$4-J141)</f>
        <v/>
      </c>
      <c r="R141" s="29" t="str">
        <f aca="false">IF(A141="","",IF(OR(K141="Received",AND(E141&lt;&gt;"",O141=0)),"Closed",IF(AND(I141&lt;&gt;"",Settings!$B$4&gt;I141),"Late",IF(AND(H141&lt;&gt;"",Settings!$B$4&gt;H141,K141&lt;&gt;"Shipped"),"Ship overdue",IF(OR(K141="Delayed",AND(I141&lt;&gt;"",I141-Settings!$B$4&lt;=Settings!$B$5,K141&lt;&gt;"Shipped")),"At risk",IF(AND(Q141&lt;&gt;"",Q141&gt;Settings!$B$6),"Stale","On track"))))))</f>
        <v/>
      </c>
      <c r="S141" s="29" t="str">
        <f aca="false">IF(R141="","",IF(R141="Late","Ask for a new ETA and tracking number",IF(R141="Ship overdue","Ask why it hasn't shipped; get a firm ship date",IF(R141="At risk","Confirm the ship date this week",IF(R141="Stale","Request a status update",IF(R141="Closed","-","No action needed"))))))</f>
        <v/>
      </c>
      <c r="T141" s="30" t="str">
        <f aca="false">IF(OR(A141="",N141="",M141=""),"",IF(N141=0,"",M141/N141))</f>
        <v/>
      </c>
      <c r="U141" s="29" t="str">
        <f aca="false">IF(OR(T141="",I141="",R141="Closed"),"",IF(R141="Late","ETA passed: "&amp;ROUND(T141,0)&amp;" days of stock left",IF(Settings!$B$4+T141&lt;I141,"YES: "&amp;ROUND(I141-(Settings!$B$4+T141),0)&amp;" days short","No")))</f>
        <v/>
      </c>
      <c r="V141" s="31" t="str">
        <f aca="false">IF(R141="","",IF(OR(R141="Late",R141="Ship overdue",R141="Stale"),Settings!$B$4,IF(R141="At risk",Settings!$B$4+2,"")))</f>
        <v/>
      </c>
    </row>
    <row r="142" customFormat="false" ht="15" hidden="false" customHeight="false" outlineLevel="0" collapsed="false">
      <c r="A142" s="32"/>
      <c r="B142" s="32"/>
      <c r="C142" s="32"/>
      <c r="D142" s="32"/>
      <c r="E142" s="33"/>
      <c r="F142" s="33"/>
      <c r="G142" s="34"/>
      <c r="H142" s="34"/>
      <c r="I142" s="34"/>
      <c r="J142" s="34"/>
      <c r="K142" s="32"/>
      <c r="L142" s="35"/>
      <c r="M142" s="33"/>
      <c r="N142" s="33"/>
      <c r="O142" s="27" t="str">
        <f aca="false">IF(A142="","",MAX(E142-F142,0))</f>
        <v/>
      </c>
      <c r="P142" s="28" t="str">
        <f aca="false">IF(OR(A142="",I142=""),"",MAX(Settings!$B$4-I142,0))</f>
        <v/>
      </c>
      <c r="Q142" s="28" t="str">
        <f aca="false">IF(OR(A142="",J142=""),"",Settings!$B$4-J142)</f>
        <v/>
      </c>
      <c r="R142" s="29" t="str">
        <f aca="false">IF(A142="","",IF(OR(K142="Received",AND(E142&lt;&gt;"",O142=0)),"Closed",IF(AND(I142&lt;&gt;"",Settings!$B$4&gt;I142),"Late",IF(AND(H142&lt;&gt;"",Settings!$B$4&gt;H142,K142&lt;&gt;"Shipped"),"Ship overdue",IF(OR(K142="Delayed",AND(I142&lt;&gt;"",I142-Settings!$B$4&lt;=Settings!$B$5,K142&lt;&gt;"Shipped")),"At risk",IF(AND(Q142&lt;&gt;"",Q142&gt;Settings!$B$6),"Stale","On track"))))))</f>
        <v/>
      </c>
      <c r="S142" s="29" t="str">
        <f aca="false">IF(R142="","",IF(R142="Late","Ask for a new ETA and tracking number",IF(R142="Ship overdue","Ask why it hasn't shipped; get a firm ship date",IF(R142="At risk","Confirm the ship date this week",IF(R142="Stale","Request a status update",IF(R142="Closed","-","No action needed"))))))</f>
        <v/>
      </c>
      <c r="T142" s="30" t="str">
        <f aca="false">IF(OR(A142="",N142="",M142=""),"",IF(N142=0,"",M142/N142))</f>
        <v/>
      </c>
      <c r="U142" s="29" t="str">
        <f aca="false">IF(OR(T142="",I142="",R142="Closed"),"",IF(R142="Late","ETA passed: "&amp;ROUND(T142,0)&amp;" days of stock left",IF(Settings!$B$4+T142&lt;I142,"YES: "&amp;ROUND(I142-(Settings!$B$4+T142),0)&amp;" days short","No")))</f>
        <v/>
      </c>
      <c r="V142" s="31" t="str">
        <f aca="false">IF(R142="","",IF(OR(R142="Late",R142="Ship overdue",R142="Stale"),Settings!$B$4,IF(R142="At risk",Settings!$B$4+2,"")))</f>
        <v/>
      </c>
    </row>
    <row r="143" customFormat="false" ht="15" hidden="false" customHeight="false" outlineLevel="0" collapsed="false">
      <c r="A143" s="32"/>
      <c r="B143" s="32"/>
      <c r="C143" s="32"/>
      <c r="D143" s="32"/>
      <c r="E143" s="33"/>
      <c r="F143" s="33"/>
      <c r="G143" s="34"/>
      <c r="H143" s="34"/>
      <c r="I143" s="34"/>
      <c r="J143" s="34"/>
      <c r="K143" s="32"/>
      <c r="L143" s="35"/>
      <c r="M143" s="33"/>
      <c r="N143" s="33"/>
      <c r="O143" s="27" t="str">
        <f aca="false">IF(A143="","",MAX(E143-F143,0))</f>
        <v/>
      </c>
      <c r="P143" s="28" t="str">
        <f aca="false">IF(OR(A143="",I143=""),"",MAX(Settings!$B$4-I143,0))</f>
        <v/>
      </c>
      <c r="Q143" s="28" t="str">
        <f aca="false">IF(OR(A143="",J143=""),"",Settings!$B$4-J143)</f>
        <v/>
      </c>
      <c r="R143" s="29" t="str">
        <f aca="false">IF(A143="","",IF(OR(K143="Received",AND(E143&lt;&gt;"",O143=0)),"Closed",IF(AND(I143&lt;&gt;"",Settings!$B$4&gt;I143),"Late",IF(AND(H143&lt;&gt;"",Settings!$B$4&gt;H143,K143&lt;&gt;"Shipped"),"Ship overdue",IF(OR(K143="Delayed",AND(I143&lt;&gt;"",I143-Settings!$B$4&lt;=Settings!$B$5,K143&lt;&gt;"Shipped")),"At risk",IF(AND(Q143&lt;&gt;"",Q143&gt;Settings!$B$6),"Stale","On track"))))))</f>
        <v/>
      </c>
      <c r="S143" s="29" t="str">
        <f aca="false">IF(R143="","",IF(R143="Late","Ask for a new ETA and tracking number",IF(R143="Ship overdue","Ask why it hasn't shipped; get a firm ship date",IF(R143="At risk","Confirm the ship date this week",IF(R143="Stale","Request a status update",IF(R143="Closed","-","No action needed"))))))</f>
        <v/>
      </c>
      <c r="T143" s="30" t="str">
        <f aca="false">IF(OR(A143="",N143="",M143=""),"",IF(N143=0,"",M143/N143))</f>
        <v/>
      </c>
      <c r="U143" s="29" t="str">
        <f aca="false">IF(OR(T143="",I143="",R143="Closed"),"",IF(R143="Late","ETA passed: "&amp;ROUND(T143,0)&amp;" days of stock left",IF(Settings!$B$4+T143&lt;I143,"YES: "&amp;ROUND(I143-(Settings!$B$4+T143),0)&amp;" days short","No")))</f>
        <v/>
      </c>
      <c r="V143" s="31" t="str">
        <f aca="false">IF(R143="","",IF(OR(R143="Late",R143="Ship overdue",R143="Stale"),Settings!$B$4,IF(R143="At risk",Settings!$B$4+2,"")))</f>
        <v/>
      </c>
    </row>
    <row r="144" customFormat="false" ht="15" hidden="false" customHeight="false" outlineLevel="0" collapsed="false">
      <c r="A144" s="32"/>
      <c r="B144" s="32"/>
      <c r="C144" s="32"/>
      <c r="D144" s="32"/>
      <c r="E144" s="33"/>
      <c r="F144" s="33"/>
      <c r="G144" s="34"/>
      <c r="H144" s="34"/>
      <c r="I144" s="34"/>
      <c r="J144" s="34"/>
      <c r="K144" s="32"/>
      <c r="L144" s="35"/>
      <c r="M144" s="33"/>
      <c r="N144" s="33"/>
      <c r="O144" s="27" t="str">
        <f aca="false">IF(A144="","",MAX(E144-F144,0))</f>
        <v/>
      </c>
      <c r="P144" s="28" t="str">
        <f aca="false">IF(OR(A144="",I144=""),"",MAX(Settings!$B$4-I144,0))</f>
        <v/>
      </c>
      <c r="Q144" s="28" t="str">
        <f aca="false">IF(OR(A144="",J144=""),"",Settings!$B$4-J144)</f>
        <v/>
      </c>
      <c r="R144" s="29" t="str">
        <f aca="false">IF(A144="","",IF(OR(K144="Received",AND(E144&lt;&gt;"",O144=0)),"Closed",IF(AND(I144&lt;&gt;"",Settings!$B$4&gt;I144),"Late",IF(AND(H144&lt;&gt;"",Settings!$B$4&gt;H144,K144&lt;&gt;"Shipped"),"Ship overdue",IF(OR(K144="Delayed",AND(I144&lt;&gt;"",I144-Settings!$B$4&lt;=Settings!$B$5,K144&lt;&gt;"Shipped")),"At risk",IF(AND(Q144&lt;&gt;"",Q144&gt;Settings!$B$6),"Stale","On track"))))))</f>
        <v/>
      </c>
      <c r="S144" s="29" t="str">
        <f aca="false">IF(R144="","",IF(R144="Late","Ask for a new ETA and tracking number",IF(R144="Ship overdue","Ask why it hasn't shipped; get a firm ship date",IF(R144="At risk","Confirm the ship date this week",IF(R144="Stale","Request a status update",IF(R144="Closed","-","No action needed"))))))</f>
        <v/>
      </c>
      <c r="T144" s="30" t="str">
        <f aca="false">IF(OR(A144="",N144="",M144=""),"",IF(N144=0,"",M144/N144))</f>
        <v/>
      </c>
      <c r="U144" s="29" t="str">
        <f aca="false">IF(OR(T144="",I144="",R144="Closed"),"",IF(R144="Late","ETA passed: "&amp;ROUND(T144,0)&amp;" days of stock left",IF(Settings!$B$4+T144&lt;I144,"YES: "&amp;ROUND(I144-(Settings!$B$4+T144),0)&amp;" days short","No")))</f>
        <v/>
      </c>
      <c r="V144" s="31" t="str">
        <f aca="false">IF(R144="","",IF(OR(R144="Late",R144="Ship overdue",R144="Stale"),Settings!$B$4,IF(R144="At risk",Settings!$B$4+2,"")))</f>
        <v/>
      </c>
    </row>
    <row r="145" customFormat="false" ht="15" hidden="false" customHeight="false" outlineLevel="0" collapsed="false">
      <c r="A145" s="32"/>
      <c r="B145" s="32"/>
      <c r="C145" s="32"/>
      <c r="D145" s="32"/>
      <c r="E145" s="33"/>
      <c r="F145" s="33"/>
      <c r="G145" s="34"/>
      <c r="H145" s="34"/>
      <c r="I145" s="34"/>
      <c r="J145" s="34"/>
      <c r="K145" s="32"/>
      <c r="L145" s="35"/>
      <c r="M145" s="33"/>
      <c r="N145" s="33"/>
      <c r="O145" s="27" t="str">
        <f aca="false">IF(A145="","",MAX(E145-F145,0))</f>
        <v/>
      </c>
      <c r="P145" s="28" t="str">
        <f aca="false">IF(OR(A145="",I145=""),"",MAX(Settings!$B$4-I145,0))</f>
        <v/>
      </c>
      <c r="Q145" s="28" t="str">
        <f aca="false">IF(OR(A145="",J145=""),"",Settings!$B$4-J145)</f>
        <v/>
      </c>
      <c r="R145" s="29" t="str">
        <f aca="false">IF(A145="","",IF(OR(K145="Received",AND(E145&lt;&gt;"",O145=0)),"Closed",IF(AND(I145&lt;&gt;"",Settings!$B$4&gt;I145),"Late",IF(AND(H145&lt;&gt;"",Settings!$B$4&gt;H145,K145&lt;&gt;"Shipped"),"Ship overdue",IF(OR(K145="Delayed",AND(I145&lt;&gt;"",I145-Settings!$B$4&lt;=Settings!$B$5,K145&lt;&gt;"Shipped")),"At risk",IF(AND(Q145&lt;&gt;"",Q145&gt;Settings!$B$6),"Stale","On track"))))))</f>
        <v/>
      </c>
      <c r="S145" s="29" t="str">
        <f aca="false">IF(R145="","",IF(R145="Late","Ask for a new ETA and tracking number",IF(R145="Ship overdue","Ask why it hasn't shipped; get a firm ship date",IF(R145="At risk","Confirm the ship date this week",IF(R145="Stale","Request a status update",IF(R145="Closed","-","No action needed"))))))</f>
        <v/>
      </c>
      <c r="T145" s="30" t="str">
        <f aca="false">IF(OR(A145="",N145="",M145=""),"",IF(N145=0,"",M145/N145))</f>
        <v/>
      </c>
      <c r="U145" s="29" t="str">
        <f aca="false">IF(OR(T145="",I145="",R145="Closed"),"",IF(R145="Late","ETA passed: "&amp;ROUND(T145,0)&amp;" days of stock left",IF(Settings!$B$4+T145&lt;I145,"YES: "&amp;ROUND(I145-(Settings!$B$4+T145),0)&amp;" days short","No")))</f>
        <v/>
      </c>
      <c r="V145" s="31" t="str">
        <f aca="false">IF(R145="","",IF(OR(R145="Late",R145="Ship overdue",R145="Stale"),Settings!$B$4,IF(R145="At risk",Settings!$B$4+2,"")))</f>
        <v/>
      </c>
    </row>
    <row r="146" customFormat="false" ht="15" hidden="false" customHeight="false" outlineLevel="0" collapsed="false">
      <c r="A146" s="32"/>
      <c r="B146" s="32"/>
      <c r="C146" s="32"/>
      <c r="D146" s="32"/>
      <c r="E146" s="33"/>
      <c r="F146" s="33"/>
      <c r="G146" s="34"/>
      <c r="H146" s="34"/>
      <c r="I146" s="34"/>
      <c r="J146" s="34"/>
      <c r="K146" s="32"/>
      <c r="L146" s="35"/>
      <c r="M146" s="33"/>
      <c r="N146" s="33"/>
      <c r="O146" s="27" t="str">
        <f aca="false">IF(A146="","",MAX(E146-F146,0))</f>
        <v/>
      </c>
      <c r="P146" s="28" t="str">
        <f aca="false">IF(OR(A146="",I146=""),"",MAX(Settings!$B$4-I146,0))</f>
        <v/>
      </c>
      <c r="Q146" s="28" t="str">
        <f aca="false">IF(OR(A146="",J146=""),"",Settings!$B$4-J146)</f>
        <v/>
      </c>
      <c r="R146" s="29" t="str">
        <f aca="false">IF(A146="","",IF(OR(K146="Received",AND(E146&lt;&gt;"",O146=0)),"Closed",IF(AND(I146&lt;&gt;"",Settings!$B$4&gt;I146),"Late",IF(AND(H146&lt;&gt;"",Settings!$B$4&gt;H146,K146&lt;&gt;"Shipped"),"Ship overdue",IF(OR(K146="Delayed",AND(I146&lt;&gt;"",I146-Settings!$B$4&lt;=Settings!$B$5,K146&lt;&gt;"Shipped")),"At risk",IF(AND(Q146&lt;&gt;"",Q146&gt;Settings!$B$6),"Stale","On track"))))))</f>
        <v/>
      </c>
      <c r="S146" s="29" t="str">
        <f aca="false">IF(R146="","",IF(R146="Late","Ask for a new ETA and tracking number",IF(R146="Ship overdue","Ask why it hasn't shipped; get a firm ship date",IF(R146="At risk","Confirm the ship date this week",IF(R146="Stale","Request a status update",IF(R146="Closed","-","No action needed"))))))</f>
        <v/>
      </c>
      <c r="T146" s="30" t="str">
        <f aca="false">IF(OR(A146="",N146="",M146=""),"",IF(N146=0,"",M146/N146))</f>
        <v/>
      </c>
      <c r="U146" s="29" t="str">
        <f aca="false">IF(OR(T146="",I146="",R146="Closed"),"",IF(R146="Late","ETA passed: "&amp;ROUND(T146,0)&amp;" days of stock left",IF(Settings!$B$4+T146&lt;I146,"YES: "&amp;ROUND(I146-(Settings!$B$4+T146),0)&amp;" days short","No")))</f>
        <v/>
      </c>
      <c r="V146" s="31" t="str">
        <f aca="false">IF(R146="","",IF(OR(R146="Late",R146="Ship overdue",R146="Stale"),Settings!$B$4,IF(R146="At risk",Settings!$B$4+2,"")))</f>
        <v/>
      </c>
    </row>
    <row r="147" customFormat="false" ht="15" hidden="false" customHeight="false" outlineLevel="0" collapsed="false">
      <c r="A147" s="32"/>
      <c r="B147" s="32"/>
      <c r="C147" s="32"/>
      <c r="D147" s="32"/>
      <c r="E147" s="33"/>
      <c r="F147" s="33"/>
      <c r="G147" s="34"/>
      <c r="H147" s="34"/>
      <c r="I147" s="34"/>
      <c r="J147" s="34"/>
      <c r="K147" s="32"/>
      <c r="L147" s="35"/>
      <c r="M147" s="33"/>
      <c r="N147" s="33"/>
      <c r="O147" s="27" t="str">
        <f aca="false">IF(A147="","",MAX(E147-F147,0))</f>
        <v/>
      </c>
      <c r="P147" s="28" t="str">
        <f aca="false">IF(OR(A147="",I147=""),"",MAX(Settings!$B$4-I147,0))</f>
        <v/>
      </c>
      <c r="Q147" s="28" t="str">
        <f aca="false">IF(OR(A147="",J147=""),"",Settings!$B$4-J147)</f>
        <v/>
      </c>
      <c r="R147" s="29" t="str">
        <f aca="false">IF(A147="","",IF(OR(K147="Received",AND(E147&lt;&gt;"",O147=0)),"Closed",IF(AND(I147&lt;&gt;"",Settings!$B$4&gt;I147),"Late",IF(AND(H147&lt;&gt;"",Settings!$B$4&gt;H147,K147&lt;&gt;"Shipped"),"Ship overdue",IF(OR(K147="Delayed",AND(I147&lt;&gt;"",I147-Settings!$B$4&lt;=Settings!$B$5,K147&lt;&gt;"Shipped")),"At risk",IF(AND(Q147&lt;&gt;"",Q147&gt;Settings!$B$6),"Stale","On track"))))))</f>
        <v/>
      </c>
      <c r="S147" s="29" t="str">
        <f aca="false">IF(R147="","",IF(R147="Late","Ask for a new ETA and tracking number",IF(R147="Ship overdue","Ask why it hasn't shipped; get a firm ship date",IF(R147="At risk","Confirm the ship date this week",IF(R147="Stale","Request a status update",IF(R147="Closed","-","No action needed"))))))</f>
        <v/>
      </c>
      <c r="T147" s="30" t="str">
        <f aca="false">IF(OR(A147="",N147="",M147=""),"",IF(N147=0,"",M147/N147))</f>
        <v/>
      </c>
      <c r="U147" s="29" t="str">
        <f aca="false">IF(OR(T147="",I147="",R147="Closed"),"",IF(R147="Late","ETA passed: "&amp;ROUND(T147,0)&amp;" days of stock left",IF(Settings!$B$4+T147&lt;I147,"YES: "&amp;ROUND(I147-(Settings!$B$4+T147),0)&amp;" days short","No")))</f>
        <v/>
      </c>
      <c r="V147" s="31" t="str">
        <f aca="false">IF(R147="","",IF(OR(R147="Late",R147="Ship overdue",R147="Stale"),Settings!$B$4,IF(R147="At risk",Settings!$B$4+2,"")))</f>
        <v/>
      </c>
    </row>
    <row r="148" customFormat="false" ht="15" hidden="false" customHeight="false" outlineLevel="0" collapsed="false">
      <c r="A148" s="32"/>
      <c r="B148" s="32"/>
      <c r="C148" s="32"/>
      <c r="D148" s="32"/>
      <c r="E148" s="33"/>
      <c r="F148" s="33"/>
      <c r="G148" s="34"/>
      <c r="H148" s="34"/>
      <c r="I148" s="34"/>
      <c r="J148" s="34"/>
      <c r="K148" s="32"/>
      <c r="L148" s="35"/>
      <c r="M148" s="33"/>
      <c r="N148" s="33"/>
      <c r="O148" s="27" t="str">
        <f aca="false">IF(A148="","",MAX(E148-F148,0))</f>
        <v/>
      </c>
      <c r="P148" s="28" t="str">
        <f aca="false">IF(OR(A148="",I148=""),"",MAX(Settings!$B$4-I148,0))</f>
        <v/>
      </c>
      <c r="Q148" s="28" t="str">
        <f aca="false">IF(OR(A148="",J148=""),"",Settings!$B$4-J148)</f>
        <v/>
      </c>
      <c r="R148" s="29" t="str">
        <f aca="false">IF(A148="","",IF(OR(K148="Received",AND(E148&lt;&gt;"",O148=0)),"Closed",IF(AND(I148&lt;&gt;"",Settings!$B$4&gt;I148),"Late",IF(AND(H148&lt;&gt;"",Settings!$B$4&gt;H148,K148&lt;&gt;"Shipped"),"Ship overdue",IF(OR(K148="Delayed",AND(I148&lt;&gt;"",I148-Settings!$B$4&lt;=Settings!$B$5,K148&lt;&gt;"Shipped")),"At risk",IF(AND(Q148&lt;&gt;"",Q148&gt;Settings!$B$6),"Stale","On track"))))))</f>
        <v/>
      </c>
      <c r="S148" s="29" t="str">
        <f aca="false">IF(R148="","",IF(R148="Late","Ask for a new ETA and tracking number",IF(R148="Ship overdue","Ask why it hasn't shipped; get a firm ship date",IF(R148="At risk","Confirm the ship date this week",IF(R148="Stale","Request a status update",IF(R148="Closed","-","No action needed"))))))</f>
        <v/>
      </c>
      <c r="T148" s="30" t="str">
        <f aca="false">IF(OR(A148="",N148="",M148=""),"",IF(N148=0,"",M148/N148))</f>
        <v/>
      </c>
      <c r="U148" s="29" t="str">
        <f aca="false">IF(OR(T148="",I148="",R148="Closed"),"",IF(R148="Late","ETA passed: "&amp;ROUND(T148,0)&amp;" days of stock left",IF(Settings!$B$4+T148&lt;I148,"YES: "&amp;ROUND(I148-(Settings!$B$4+T148),0)&amp;" days short","No")))</f>
        <v/>
      </c>
      <c r="V148" s="31" t="str">
        <f aca="false">IF(R148="","",IF(OR(R148="Late",R148="Ship overdue",R148="Stale"),Settings!$B$4,IF(R148="At risk",Settings!$B$4+2,"")))</f>
        <v/>
      </c>
    </row>
    <row r="149" customFormat="false" ht="15" hidden="false" customHeight="false" outlineLevel="0" collapsed="false">
      <c r="A149" s="32"/>
      <c r="B149" s="32"/>
      <c r="C149" s="32"/>
      <c r="D149" s="32"/>
      <c r="E149" s="33"/>
      <c r="F149" s="33"/>
      <c r="G149" s="34"/>
      <c r="H149" s="34"/>
      <c r="I149" s="34"/>
      <c r="J149" s="34"/>
      <c r="K149" s="32"/>
      <c r="L149" s="35"/>
      <c r="M149" s="33"/>
      <c r="N149" s="33"/>
      <c r="O149" s="27" t="str">
        <f aca="false">IF(A149="","",MAX(E149-F149,0))</f>
        <v/>
      </c>
      <c r="P149" s="28" t="str">
        <f aca="false">IF(OR(A149="",I149=""),"",MAX(Settings!$B$4-I149,0))</f>
        <v/>
      </c>
      <c r="Q149" s="28" t="str">
        <f aca="false">IF(OR(A149="",J149=""),"",Settings!$B$4-J149)</f>
        <v/>
      </c>
      <c r="R149" s="29" t="str">
        <f aca="false">IF(A149="","",IF(OR(K149="Received",AND(E149&lt;&gt;"",O149=0)),"Closed",IF(AND(I149&lt;&gt;"",Settings!$B$4&gt;I149),"Late",IF(AND(H149&lt;&gt;"",Settings!$B$4&gt;H149,K149&lt;&gt;"Shipped"),"Ship overdue",IF(OR(K149="Delayed",AND(I149&lt;&gt;"",I149-Settings!$B$4&lt;=Settings!$B$5,K149&lt;&gt;"Shipped")),"At risk",IF(AND(Q149&lt;&gt;"",Q149&gt;Settings!$B$6),"Stale","On track"))))))</f>
        <v/>
      </c>
      <c r="S149" s="29" t="str">
        <f aca="false">IF(R149="","",IF(R149="Late","Ask for a new ETA and tracking number",IF(R149="Ship overdue","Ask why it hasn't shipped; get a firm ship date",IF(R149="At risk","Confirm the ship date this week",IF(R149="Stale","Request a status update",IF(R149="Closed","-","No action needed"))))))</f>
        <v/>
      </c>
      <c r="T149" s="30" t="str">
        <f aca="false">IF(OR(A149="",N149="",M149=""),"",IF(N149=0,"",M149/N149))</f>
        <v/>
      </c>
      <c r="U149" s="29" t="str">
        <f aca="false">IF(OR(T149="",I149="",R149="Closed"),"",IF(R149="Late","ETA passed: "&amp;ROUND(T149,0)&amp;" days of stock left",IF(Settings!$B$4+T149&lt;I149,"YES: "&amp;ROUND(I149-(Settings!$B$4+T149),0)&amp;" days short","No")))</f>
        <v/>
      </c>
      <c r="V149" s="31" t="str">
        <f aca="false">IF(R149="","",IF(OR(R149="Late",R149="Ship overdue",R149="Stale"),Settings!$B$4,IF(R149="At risk",Settings!$B$4+2,"")))</f>
        <v/>
      </c>
    </row>
    <row r="150" customFormat="false" ht="15" hidden="false" customHeight="false" outlineLevel="0" collapsed="false">
      <c r="A150" s="32"/>
      <c r="B150" s="32"/>
      <c r="C150" s="32"/>
      <c r="D150" s="32"/>
      <c r="E150" s="33"/>
      <c r="F150" s="33"/>
      <c r="G150" s="34"/>
      <c r="H150" s="34"/>
      <c r="I150" s="34"/>
      <c r="J150" s="34"/>
      <c r="K150" s="32"/>
      <c r="L150" s="35"/>
      <c r="M150" s="33"/>
      <c r="N150" s="33"/>
      <c r="O150" s="27" t="str">
        <f aca="false">IF(A150="","",MAX(E150-F150,0))</f>
        <v/>
      </c>
      <c r="P150" s="28" t="str">
        <f aca="false">IF(OR(A150="",I150=""),"",MAX(Settings!$B$4-I150,0))</f>
        <v/>
      </c>
      <c r="Q150" s="28" t="str">
        <f aca="false">IF(OR(A150="",J150=""),"",Settings!$B$4-J150)</f>
        <v/>
      </c>
      <c r="R150" s="29" t="str">
        <f aca="false">IF(A150="","",IF(OR(K150="Received",AND(E150&lt;&gt;"",O150=0)),"Closed",IF(AND(I150&lt;&gt;"",Settings!$B$4&gt;I150),"Late",IF(AND(H150&lt;&gt;"",Settings!$B$4&gt;H150,K150&lt;&gt;"Shipped"),"Ship overdue",IF(OR(K150="Delayed",AND(I150&lt;&gt;"",I150-Settings!$B$4&lt;=Settings!$B$5,K150&lt;&gt;"Shipped")),"At risk",IF(AND(Q150&lt;&gt;"",Q150&gt;Settings!$B$6),"Stale","On track"))))))</f>
        <v/>
      </c>
      <c r="S150" s="29" t="str">
        <f aca="false">IF(R150="","",IF(R150="Late","Ask for a new ETA and tracking number",IF(R150="Ship overdue","Ask why it hasn't shipped; get a firm ship date",IF(R150="At risk","Confirm the ship date this week",IF(R150="Stale","Request a status update",IF(R150="Closed","-","No action needed"))))))</f>
        <v/>
      </c>
      <c r="T150" s="30" t="str">
        <f aca="false">IF(OR(A150="",N150="",M150=""),"",IF(N150=0,"",M150/N150))</f>
        <v/>
      </c>
      <c r="U150" s="29" t="str">
        <f aca="false">IF(OR(T150="",I150="",R150="Closed"),"",IF(R150="Late","ETA passed: "&amp;ROUND(T150,0)&amp;" days of stock left",IF(Settings!$B$4+T150&lt;I150,"YES: "&amp;ROUND(I150-(Settings!$B$4+T150),0)&amp;" days short","No")))</f>
        <v/>
      </c>
      <c r="V150" s="31" t="str">
        <f aca="false">IF(R150="","",IF(OR(R150="Late",R150="Ship overdue",R150="Stale"),Settings!$B$4,IF(R150="At risk",Settings!$B$4+2,"")))</f>
        <v/>
      </c>
    </row>
    <row r="151" customFormat="false" ht="15" hidden="false" customHeight="false" outlineLevel="0" collapsed="false">
      <c r="A151" s="32"/>
      <c r="B151" s="32"/>
      <c r="C151" s="32"/>
      <c r="D151" s="32"/>
      <c r="E151" s="33"/>
      <c r="F151" s="33"/>
      <c r="G151" s="34"/>
      <c r="H151" s="34"/>
      <c r="I151" s="34"/>
      <c r="J151" s="34"/>
      <c r="K151" s="32"/>
      <c r="L151" s="35"/>
      <c r="M151" s="33"/>
      <c r="N151" s="33"/>
      <c r="O151" s="27" t="str">
        <f aca="false">IF(A151="","",MAX(E151-F151,0))</f>
        <v/>
      </c>
      <c r="P151" s="28" t="str">
        <f aca="false">IF(OR(A151="",I151=""),"",MAX(Settings!$B$4-I151,0))</f>
        <v/>
      </c>
      <c r="Q151" s="28" t="str">
        <f aca="false">IF(OR(A151="",J151=""),"",Settings!$B$4-J151)</f>
        <v/>
      </c>
      <c r="R151" s="29" t="str">
        <f aca="false">IF(A151="","",IF(OR(K151="Received",AND(E151&lt;&gt;"",O151=0)),"Closed",IF(AND(I151&lt;&gt;"",Settings!$B$4&gt;I151),"Late",IF(AND(H151&lt;&gt;"",Settings!$B$4&gt;H151,K151&lt;&gt;"Shipped"),"Ship overdue",IF(OR(K151="Delayed",AND(I151&lt;&gt;"",I151-Settings!$B$4&lt;=Settings!$B$5,K151&lt;&gt;"Shipped")),"At risk",IF(AND(Q151&lt;&gt;"",Q151&gt;Settings!$B$6),"Stale","On track"))))))</f>
        <v/>
      </c>
      <c r="S151" s="29" t="str">
        <f aca="false">IF(R151="","",IF(R151="Late","Ask for a new ETA and tracking number",IF(R151="Ship overdue","Ask why it hasn't shipped; get a firm ship date",IF(R151="At risk","Confirm the ship date this week",IF(R151="Stale","Request a status update",IF(R151="Closed","-","No action needed"))))))</f>
        <v/>
      </c>
      <c r="T151" s="30" t="str">
        <f aca="false">IF(OR(A151="",N151="",M151=""),"",IF(N151=0,"",M151/N151))</f>
        <v/>
      </c>
      <c r="U151" s="29" t="str">
        <f aca="false">IF(OR(T151="",I151="",R151="Closed"),"",IF(R151="Late","ETA passed: "&amp;ROUND(T151,0)&amp;" days of stock left",IF(Settings!$B$4+T151&lt;I151,"YES: "&amp;ROUND(I151-(Settings!$B$4+T151),0)&amp;" days short","No")))</f>
        <v/>
      </c>
      <c r="V151" s="31" t="str">
        <f aca="false">IF(R151="","",IF(OR(R151="Late",R151="Ship overdue",R151="Stale"),Settings!$B$4,IF(R151="At risk",Settings!$B$4+2,"")))</f>
        <v/>
      </c>
    </row>
    <row r="152" customFormat="false" ht="15" hidden="false" customHeight="false" outlineLevel="0" collapsed="false">
      <c r="A152" s="32"/>
      <c r="B152" s="32"/>
      <c r="C152" s="32"/>
      <c r="D152" s="32"/>
      <c r="E152" s="33"/>
      <c r="F152" s="33"/>
      <c r="G152" s="34"/>
      <c r="H152" s="34"/>
      <c r="I152" s="34"/>
      <c r="J152" s="34"/>
      <c r="K152" s="32"/>
      <c r="L152" s="35"/>
      <c r="M152" s="33"/>
      <c r="N152" s="33"/>
      <c r="O152" s="27" t="str">
        <f aca="false">IF(A152="","",MAX(E152-F152,0))</f>
        <v/>
      </c>
      <c r="P152" s="28" t="str">
        <f aca="false">IF(OR(A152="",I152=""),"",MAX(Settings!$B$4-I152,0))</f>
        <v/>
      </c>
      <c r="Q152" s="28" t="str">
        <f aca="false">IF(OR(A152="",J152=""),"",Settings!$B$4-J152)</f>
        <v/>
      </c>
      <c r="R152" s="29" t="str">
        <f aca="false">IF(A152="","",IF(OR(K152="Received",AND(E152&lt;&gt;"",O152=0)),"Closed",IF(AND(I152&lt;&gt;"",Settings!$B$4&gt;I152),"Late",IF(AND(H152&lt;&gt;"",Settings!$B$4&gt;H152,K152&lt;&gt;"Shipped"),"Ship overdue",IF(OR(K152="Delayed",AND(I152&lt;&gt;"",I152-Settings!$B$4&lt;=Settings!$B$5,K152&lt;&gt;"Shipped")),"At risk",IF(AND(Q152&lt;&gt;"",Q152&gt;Settings!$B$6),"Stale","On track"))))))</f>
        <v/>
      </c>
      <c r="S152" s="29" t="str">
        <f aca="false">IF(R152="","",IF(R152="Late","Ask for a new ETA and tracking number",IF(R152="Ship overdue","Ask why it hasn't shipped; get a firm ship date",IF(R152="At risk","Confirm the ship date this week",IF(R152="Stale","Request a status update",IF(R152="Closed","-","No action needed"))))))</f>
        <v/>
      </c>
      <c r="T152" s="30" t="str">
        <f aca="false">IF(OR(A152="",N152="",M152=""),"",IF(N152=0,"",M152/N152))</f>
        <v/>
      </c>
      <c r="U152" s="29" t="str">
        <f aca="false">IF(OR(T152="",I152="",R152="Closed"),"",IF(R152="Late","ETA passed: "&amp;ROUND(T152,0)&amp;" days of stock left",IF(Settings!$B$4+T152&lt;I152,"YES: "&amp;ROUND(I152-(Settings!$B$4+T152),0)&amp;" days short","No")))</f>
        <v/>
      </c>
      <c r="V152" s="31" t="str">
        <f aca="false">IF(R152="","",IF(OR(R152="Late",R152="Ship overdue",R152="Stale"),Settings!$B$4,IF(R152="At risk",Settings!$B$4+2,"")))</f>
        <v/>
      </c>
    </row>
    <row r="153" customFormat="false" ht="15" hidden="false" customHeight="false" outlineLevel="0" collapsed="false">
      <c r="A153" s="32"/>
      <c r="B153" s="32"/>
      <c r="C153" s="32"/>
      <c r="D153" s="32"/>
      <c r="E153" s="33"/>
      <c r="F153" s="33"/>
      <c r="G153" s="34"/>
      <c r="H153" s="34"/>
      <c r="I153" s="34"/>
      <c r="J153" s="34"/>
      <c r="K153" s="32"/>
      <c r="L153" s="35"/>
      <c r="M153" s="33"/>
      <c r="N153" s="33"/>
      <c r="O153" s="27" t="str">
        <f aca="false">IF(A153="","",MAX(E153-F153,0))</f>
        <v/>
      </c>
      <c r="P153" s="28" t="str">
        <f aca="false">IF(OR(A153="",I153=""),"",MAX(Settings!$B$4-I153,0))</f>
        <v/>
      </c>
      <c r="Q153" s="28" t="str">
        <f aca="false">IF(OR(A153="",J153=""),"",Settings!$B$4-J153)</f>
        <v/>
      </c>
      <c r="R153" s="29" t="str">
        <f aca="false">IF(A153="","",IF(OR(K153="Received",AND(E153&lt;&gt;"",O153=0)),"Closed",IF(AND(I153&lt;&gt;"",Settings!$B$4&gt;I153),"Late",IF(AND(H153&lt;&gt;"",Settings!$B$4&gt;H153,K153&lt;&gt;"Shipped"),"Ship overdue",IF(OR(K153="Delayed",AND(I153&lt;&gt;"",I153-Settings!$B$4&lt;=Settings!$B$5,K153&lt;&gt;"Shipped")),"At risk",IF(AND(Q153&lt;&gt;"",Q153&gt;Settings!$B$6),"Stale","On track"))))))</f>
        <v/>
      </c>
      <c r="S153" s="29" t="str">
        <f aca="false">IF(R153="","",IF(R153="Late","Ask for a new ETA and tracking number",IF(R153="Ship overdue","Ask why it hasn't shipped; get a firm ship date",IF(R153="At risk","Confirm the ship date this week",IF(R153="Stale","Request a status update",IF(R153="Closed","-","No action needed"))))))</f>
        <v/>
      </c>
      <c r="T153" s="30" t="str">
        <f aca="false">IF(OR(A153="",N153="",M153=""),"",IF(N153=0,"",M153/N153))</f>
        <v/>
      </c>
      <c r="U153" s="29" t="str">
        <f aca="false">IF(OR(T153="",I153="",R153="Closed"),"",IF(R153="Late","ETA passed: "&amp;ROUND(T153,0)&amp;" days of stock left",IF(Settings!$B$4+T153&lt;I153,"YES: "&amp;ROUND(I153-(Settings!$B$4+T153),0)&amp;" days short","No")))</f>
        <v/>
      </c>
      <c r="V153" s="31" t="str">
        <f aca="false">IF(R153="","",IF(OR(R153="Late",R153="Ship overdue",R153="Stale"),Settings!$B$4,IF(R153="At risk",Settings!$B$4+2,"")))</f>
        <v/>
      </c>
    </row>
    <row r="154" customFormat="false" ht="15" hidden="false" customHeight="false" outlineLevel="0" collapsed="false">
      <c r="A154" s="32"/>
      <c r="B154" s="32"/>
      <c r="C154" s="32"/>
      <c r="D154" s="32"/>
      <c r="E154" s="33"/>
      <c r="F154" s="33"/>
      <c r="G154" s="34"/>
      <c r="H154" s="34"/>
      <c r="I154" s="34"/>
      <c r="J154" s="34"/>
      <c r="K154" s="32"/>
      <c r="L154" s="35"/>
      <c r="M154" s="33"/>
      <c r="N154" s="33"/>
      <c r="O154" s="27" t="str">
        <f aca="false">IF(A154="","",MAX(E154-F154,0))</f>
        <v/>
      </c>
      <c r="P154" s="28" t="str">
        <f aca="false">IF(OR(A154="",I154=""),"",MAX(Settings!$B$4-I154,0))</f>
        <v/>
      </c>
      <c r="Q154" s="28" t="str">
        <f aca="false">IF(OR(A154="",J154=""),"",Settings!$B$4-J154)</f>
        <v/>
      </c>
      <c r="R154" s="29" t="str">
        <f aca="false">IF(A154="","",IF(OR(K154="Received",AND(E154&lt;&gt;"",O154=0)),"Closed",IF(AND(I154&lt;&gt;"",Settings!$B$4&gt;I154),"Late",IF(AND(H154&lt;&gt;"",Settings!$B$4&gt;H154,K154&lt;&gt;"Shipped"),"Ship overdue",IF(OR(K154="Delayed",AND(I154&lt;&gt;"",I154-Settings!$B$4&lt;=Settings!$B$5,K154&lt;&gt;"Shipped")),"At risk",IF(AND(Q154&lt;&gt;"",Q154&gt;Settings!$B$6),"Stale","On track"))))))</f>
        <v/>
      </c>
      <c r="S154" s="29" t="str">
        <f aca="false">IF(R154="","",IF(R154="Late","Ask for a new ETA and tracking number",IF(R154="Ship overdue","Ask why it hasn't shipped; get a firm ship date",IF(R154="At risk","Confirm the ship date this week",IF(R154="Stale","Request a status update",IF(R154="Closed","-","No action needed"))))))</f>
        <v/>
      </c>
      <c r="T154" s="30" t="str">
        <f aca="false">IF(OR(A154="",N154="",M154=""),"",IF(N154=0,"",M154/N154))</f>
        <v/>
      </c>
      <c r="U154" s="29" t="str">
        <f aca="false">IF(OR(T154="",I154="",R154="Closed"),"",IF(R154="Late","ETA passed: "&amp;ROUND(T154,0)&amp;" days of stock left",IF(Settings!$B$4+T154&lt;I154,"YES: "&amp;ROUND(I154-(Settings!$B$4+T154),0)&amp;" days short","No")))</f>
        <v/>
      </c>
      <c r="V154" s="31" t="str">
        <f aca="false">IF(R154="","",IF(OR(R154="Late",R154="Ship overdue",R154="Stale"),Settings!$B$4,IF(R154="At risk",Settings!$B$4+2,"")))</f>
        <v/>
      </c>
    </row>
    <row r="155" customFormat="false" ht="15" hidden="false" customHeight="false" outlineLevel="0" collapsed="false">
      <c r="A155" s="32"/>
      <c r="B155" s="32"/>
      <c r="C155" s="32"/>
      <c r="D155" s="32"/>
      <c r="E155" s="33"/>
      <c r="F155" s="33"/>
      <c r="G155" s="34"/>
      <c r="H155" s="34"/>
      <c r="I155" s="34"/>
      <c r="J155" s="34"/>
      <c r="K155" s="32"/>
      <c r="L155" s="35"/>
      <c r="M155" s="33"/>
      <c r="N155" s="33"/>
      <c r="O155" s="27" t="str">
        <f aca="false">IF(A155="","",MAX(E155-F155,0))</f>
        <v/>
      </c>
      <c r="P155" s="28" t="str">
        <f aca="false">IF(OR(A155="",I155=""),"",MAX(Settings!$B$4-I155,0))</f>
        <v/>
      </c>
      <c r="Q155" s="28" t="str">
        <f aca="false">IF(OR(A155="",J155=""),"",Settings!$B$4-J155)</f>
        <v/>
      </c>
      <c r="R155" s="29" t="str">
        <f aca="false">IF(A155="","",IF(OR(K155="Received",AND(E155&lt;&gt;"",O155=0)),"Closed",IF(AND(I155&lt;&gt;"",Settings!$B$4&gt;I155),"Late",IF(AND(H155&lt;&gt;"",Settings!$B$4&gt;H155,K155&lt;&gt;"Shipped"),"Ship overdue",IF(OR(K155="Delayed",AND(I155&lt;&gt;"",I155-Settings!$B$4&lt;=Settings!$B$5,K155&lt;&gt;"Shipped")),"At risk",IF(AND(Q155&lt;&gt;"",Q155&gt;Settings!$B$6),"Stale","On track"))))))</f>
        <v/>
      </c>
      <c r="S155" s="29" t="str">
        <f aca="false">IF(R155="","",IF(R155="Late","Ask for a new ETA and tracking number",IF(R155="Ship overdue","Ask why it hasn't shipped; get a firm ship date",IF(R155="At risk","Confirm the ship date this week",IF(R155="Stale","Request a status update",IF(R155="Closed","-","No action needed"))))))</f>
        <v/>
      </c>
      <c r="T155" s="30" t="str">
        <f aca="false">IF(OR(A155="",N155="",M155=""),"",IF(N155=0,"",M155/N155))</f>
        <v/>
      </c>
      <c r="U155" s="29" t="str">
        <f aca="false">IF(OR(T155="",I155="",R155="Closed"),"",IF(R155="Late","ETA passed: "&amp;ROUND(T155,0)&amp;" days of stock left",IF(Settings!$B$4+T155&lt;I155,"YES: "&amp;ROUND(I155-(Settings!$B$4+T155),0)&amp;" days short","No")))</f>
        <v/>
      </c>
      <c r="V155" s="31" t="str">
        <f aca="false">IF(R155="","",IF(OR(R155="Late",R155="Ship overdue",R155="Stale"),Settings!$B$4,IF(R155="At risk",Settings!$B$4+2,"")))</f>
        <v/>
      </c>
    </row>
    <row r="156" customFormat="false" ht="15" hidden="false" customHeight="false" outlineLevel="0" collapsed="false">
      <c r="A156" s="32"/>
      <c r="B156" s="32"/>
      <c r="C156" s="32"/>
      <c r="D156" s="32"/>
      <c r="E156" s="33"/>
      <c r="F156" s="33"/>
      <c r="G156" s="34"/>
      <c r="H156" s="34"/>
      <c r="I156" s="34"/>
      <c r="J156" s="34"/>
      <c r="K156" s="32"/>
      <c r="L156" s="35"/>
      <c r="M156" s="33"/>
      <c r="N156" s="33"/>
      <c r="O156" s="27" t="str">
        <f aca="false">IF(A156="","",MAX(E156-F156,0))</f>
        <v/>
      </c>
      <c r="P156" s="28" t="str">
        <f aca="false">IF(OR(A156="",I156=""),"",MAX(Settings!$B$4-I156,0))</f>
        <v/>
      </c>
      <c r="Q156" s="28" t="str">
        <f aca="false">IF(OR(A156="",J156=""),"",Settings!$B$4-J156)</f>
        <v/>
      </c>
      <c r="R156" s="29" t="str">
        <f aca="false">IF(A156="","",IF(OR(K156="Received",AND(E156&lt;&gt;"",O156=0)),"Closed",IF(AND(I156&lt;&gt;"",Settings!$B$4&gt;I156),"Late",IF(AND(H156&lt;&gt;"",Settings!$B$4&gt;H156,K156&lt;&gt;"Shipped"),"Ship overdue",IF(OR(K156="Delayed",AND(I156&lt;&gt;"",I156-Settings!$B$4&lt;=Settings!$B$5,K156&lt;&gt;"Shipped")),"At risk",IF(AND(Q156&lt;&gt;"",Q156&gt;Settings!$B$6),"Stale","On track"))))))</f>
        <v/>
      </c>
      <c r="S156" s="29" t="str">
        <f aca="false">IF(R156="","",IF(R156="Late","Ask for a new ETA and tracking number",IF(R156="Ship overdue","Ask why it hasn't shipped; get a firm ship date",IF(R156="At risk","Confirm the ship date this week",IF(R156="Stale","Request a status update",IF(R156="Closed","-","No action needed"))))))</f>
        <v/>
      </c>
      <c r="T156" s="30" t="str">
        <f aca="false">IF(OR(A156="",N156="",M156=""),"",IF(N156=0,"",M156/N156))</f>
        <v/>
      </c>
      <c r="U156" s="29" t="str">
        <f aca="false">IF(OR(T156="",I156="",R156="Closed"),"",IF(R156="Late","ETA passed: "&amp;ROUND(T156,0)&amp;" days of stock left",IF(Settings!$B$4+T156&lt;I156,"YES: "&amp;ROUND(I156-(Settings!$B$4+T156),0)&amp;" days short","No")))</f>
        <v/>
      </c>
      <c r="V156" s="31" t="str">
        <f aca="false">IF(R156="","",IF(OR(R156="Late",R156="Ship overdue",R156="Stale"),Settings!$B$4,IF(R156="At risk",Settings!$B$4+2,"")))</f>
        <v/>
      </c>
    </row>
    <row r="157" customFormat="false" ht="15" hidden="false" customHeight="false" outlineLevel="0" collapsed="false">
      <c r="A157" s="32"/>
      <c r="B157" s="32"/>
      <c r="C157" s="32"/>
      <c r="D157" s="32"/>
      <c r="E157" s="33"/>
      <c r="F157" s="33"/>
      <c r="G157" s="34"/>
      <c r="H157" s="34"/>
      <c r="I157" s="34"/>
      <c r="J157" s="34"/>
      <c r="K157" s="32"/>
      <c r="L157" s="35"/>
      <c r="M157" s="33"/>
      <c r="N157" s="33"/>
      <c r="O157" s="27" t="str">
        <f aca="false">IF(A157="","",MAX(E157-F157,0))</f>
        <v/>
      </c>
      <c r="P157" s="28" t="str">
        <f aca="false">IF(OR(A157="",I157=""),"",MAX(Settings!$B$4-I157,0))</f>
        <v/>
      </c>
      <c r="Q157" s="28" t="str">
        <f aca="false">IF(OR(A157="",J157=""),"",Settings!$B$4-J157)</f>
        <v/>
      </c>
      <c r="R157" s="29" t="str">
        <f aca="false">IF(A157="","",IF(OR(K157="Received",AND(E157&lt;&gt;"",O157=0)),"Closed",IF(AND(I157&lt;&gt;"",Settings!$B$4&gt;I157),"Late",IF(AND(H157&lt;&gt;"",Settings!$B$4&gt;H157,K157&lt;&gt;"Shipped"),"Ship overdue",IF(OR(K157="Delayed",AND(I157&lt;&gt;"",I157-Settings!$B$4&lt;=Settings!$B$5,K157&lt;&gt;"Shipped")),"At risk",IF(AND(Q157&lt;&gt;"",Q157&gt;Settings!$B$6),"Stale","On track"))))))</f>
        <v/>
      </c>
      <c r="S157" s="29" t="str">
        <f aca="false">IF(R157="","",IF(R157="Late","Ask for a new ETA and tracking number",IF(R157="Ship overdue","Ask why it hasn't shipped; get a firm ship date",IF(R157="At risk","Confirm the ship date this week",IF(R157="Stale","Request a status update",IF(R157="Closed","-","No action needed"))))))</f>
        <v/>
      </c>
      <c r="T157" s="30" t="str">
        <f aca="false">IF(OR(A157="",N157="",M157=""),"",IF(N157=0,"",M157/N157))</f>
        <v/>
      </c>
      <c r="U157" s="29" t="str">
        <f aca="false">IF(OR(T157="",I157="",R157="Closed"),"",IF(R157="Late","ETA passed: "&amp;ROUND(T157,0)&amp;" days of stock left",IF(Settings!$B$4+T157&lt;I157,"YES: "&amp;ROUND(I157-(Settings!$B$4+T157),0)&amp;" days short","No")))</f>
        <v/>
      </c>
      <c r="V157" s="31" t="str">
        <f aca="false">IF(R157="","",IF(OR(R157="Late",R157="Ship overdue",R157="Stale"),Settings!$B$4,IF(R157="At risk",Settings!$B$4+2,"")))</f>
        <v/>
      </c>
    </row>
    <row r="158" customFormat="false" ht="15" hidden="false" customHeight="false" outlineLevel="0" collapsed="false">
      <c r="A158" s="32"/>
      <c r="B158" s="32"/>
      <c r="C158" s="32"/>
      <c r="D158" s="32"/>
      <c r="E158" s="33"/>
      <c r="F158" s="33"/>
      <c r="G158" s="34"/>
      <c r="H158" s="34"/>
      <c r="I158" s="34"/>
      <c r="J158" s="34"/>
      <c r="K158" s="32"/>
      <c r="L158" s="35"/>
      <c r="M158" s="33"/>
      <c r="N158" s="33"/>
      <c r="O158" s="27" t="str">
        <f aca="false">IF(A158="","",MAX(E158-F158,0))</f>
        <v/>
      </c>
      <c r="P158" s="28" t="str">
        <f aca="false">IF(OR(A158="",I158=""),"",MAX(Settings!$B$4-I158,0))</f>
        <v/>
      </c>
      <c r="Q158" s="28" t="str">
        <f aca="false">IF(OR(A158="",J158=""),"",Settings!$B$4-J158)</f>
        <v/>
      </c>
      <c r="R158" s="29" t="str">
        <f aca="false">IF(A158="","",IF(OR(K158="Received",AND(E158&lt;&gt;"",O158=0)),"Closed",IF(AND(I158&lt;&gt;"",Settings!$B$4&gt;I158),"Late",IF(AND(H158&lt;&gt;"",Settings!$B$4&gt;H158,K158&lt;&gt;"Shipped"),"Ship overdue",IF(OR(K158="Delayed",AND(I158&lt;&gt;"",I158-Settings!$B$4&lt;=Settings!$B$5,K158&lt;&gt;"Shipped")),"At risk",IF(AND(Q158&lt;&gt;"",Q158&gt;Settings!$B$6),"Stale","On track"))))))</f>
        <v/>
      </c>
      <c r="S158" s="29" t="str">
        <f aca="false">IF(R158="","",IF(R158="Late","Ask for a new ETA and tracking number",IF(R158="Ship overdue","Ask why it hasn't shipped; get a firm ship date",IF(R158="At risk","Confirm the ship date this week",IF(R158="Stale","Request a status update",IF(R158="Closed","-","No action needed"))))))</f>
        <v/>
      </c>
      <c r="T158" s="30" t="str">
        <f aca="false">IF(OR(A158="",N158="",M158=""),"",IF(N158=0,"",M158/N158))</f>
        <v/>
      </c>
      <c r="U158" s="29" t="str">
        <f aca="false">IF(OR(T158="",I158="",R158="Closed"),"",IF(R158="Late","ETA passed: "&amp;ROUND(T158,0)&amp;" days of stock left",IF(Settings!$B$4+T158&lt;I158,"YES: "&amp;ROUND(I158-(Settings!$B$4+T158),0)&amp;" days short","No")))</f>
        <v/>
      </c>
      <c r="V158" s="31" t="str">
        <f aca="false">IF(R158="","",IF(OR(R158="Late",R158="Ship overdue",R158="Stale"),Settings!$B$4,IF(R158="At risk",Settings!$B$4+2,"")))</f>
        <v/>
      </c>
    </row>
    <row r="159" customFormat="false" ht="15" hidden="false" customHeight="false" outlineLevel="0" collapsed="false">
      <c r="A159" s="32"/>
      <c r="B159" s="32"/>
      <c r="C159" s="32"/>
      <c r="D159" s="32"/>
      <c r="E159" s="33"/>
      <c r="F159" s="33"/>
      <c r="G159" s="34"/>
      <c r="H159" s="34"/>
      <c r="I159" s="34"/>
      <c r="J159" s="34"/>
      <c r="K159" s="32"/>
      <c r="L159" s="35"/>
      <c r="M159" s="33"/>
      <c r="N159" s="33"/>
      <c r="O159" s="27" t="str">
        <f aca="false">IF(A159="","",MAX(E159-F159,0))</f>
        <v/>
      </c>
      <c r="P159" s="28" t="str">
        <f aca="false">IF(OR(A159="",I159=""),"",MAX(Settings!$B$4-I159,0))</f>
        <v/>
      </c>
      <c r="Q159" s="28" t="str">
        <f aca="false">IF(OR(A159="",J159=""),"",Settings!$B$4-J159)</f>
        <v/>
      </c>
      <c r="R159" s="29" t="str">
        <f aca="false">IF(A159="","",IF(OR(K159="Received",AND(E159&lt;&gt;"",O159=0)),"Closed",IF(AND(I159&lt;&gt;"",Settings!$B$4&gt;I159),"Late",IF(AND(H159&lt;&gt;"",Settings!$B$4&gt;H159,K159&lt;&gt;"Shipped"),"Ship overdue",IF(OR(K159="Delayed",AND(I159&lt;&gt;"",I159-Settings!$B$4&lt;=Settings!$B$5,K159&lt;&gt;"Shipped")),"At risk",IF(AND(Q159&lt;&gt;"",Q159&gt;Settings!$B$6),"Stale","On track"))))))</f>
        <v/>
      </c>
      <c r="S159" s="29" t="str">
        <f aca="false">IF(R159="","",IF(R159="Late","Ask for a new ETA and tracking number",IF(R159="Ship overdue","Ask why it hasn't shipped; get a firm ship date",IF(R159="At risk","Confirm the ship date this week",IF(R159="Stale","Request a status update",IF(R159="Closed","-","No action needed"))))))</f>
        <v/>
      </c>
      <c r="T159" s="30" t="str">
        <f aca="false">IF(OR(A159="",N159="",M159=""),"",IF(N159=0,"",M159/N159))</f>
        <v/>
      </c>
      <c r="U159" s="29" t="str">
        <f aca="false">IF(OR(T159="",I159="",R159="Closed"),"",IF(R159="Late","ETA passed: "&amp;ROUND(T159,0)&amp;" days of stock left",IF(Settings!$B$4+T159&lt;I159,"YES: "&amp;ROUND(I159-(Settings!$B$4+T159),0)&amp;" days short","No")))</f>
        <v/>
      </c>
      <c r="V159" s="31" t="str">
        <f aca="false">IF(R159="","",IF(OR(R159="Late",R159="Ship overdue",R159="Stale"),Settings!$B$4,IF(R159="At risk",Settings!$B$4+2,"")))</f>
        <v/>
      </c>
    </row>
    <row r="160" customFormat="false" ht="15" hidden="false" customHeight="false" outlineLevel="0" collapsed="false">
      <c r="A160" s="32"/>
      <c r="B160" s="32"/>
      <c r="C160" s="32"/>
      <c r="D160" s="32"/>
      <c r="E160" s="33"/>
      <c r="F160" s="33"/>
      <c r="G160" s="34"/>
      <c r="H160" s="34"/>
      <c r="I160" s="34"/>
      <c r="J160" s="34"/>
      <c r="K160" s="32"/>
      <c r="L160" s="35"/>
      <c r="M160" s="33"/>
      <c r="N160" s="33"/>
      <c r="O160" s="27" t="str">
        <f aca="false">IF(A160="","",MAX(E160-F160,0))</f>
        <v/>
      </c>
      <c r="P160" s="28" t="str">
        <f aca="false">IF(OR(A160="",I160=""),"",MAX(Settings!$B$4-I160,0))</f>
        <v/>
      </c>
      <c r="Q160" s="28" t="str">
        <f aca="false">IF(OR(A160="",J160=""),"",Settings!$B$4-J160)</f>
        <v/>
      </c>
      <c r="R160" s="29" t="str">
        <f aca="false">IF(A160="","",IF(OR(K160="Received",AND(E160&lt;&gt;"",O160=0)),"Closed",IF(AND(I160&lt;&gt;"",Settings!$B$4&gt;I160),"Late",IF(AND(H160&lt;&gt;"",Settings!$B$4&gt;H160,K160&lt;&gt;"Shipped"),"Ship overdue",IF(OR(K160="Delayed",AND(I160&lt;&gt;"",I160-Settings!$B$4&lt;=Settings!$B$5,K160&lt;&gt;"Shipped")),"At risk",IF(AND(Q160&lt;&gt;"",Q160&gt;Settings!$B$6),"Stale","On track"))))))</f>
        <v/>
      </c>
      <c r="S160" s="29" t="str">
        <f aca="false">IF(R160="","",IF(R160="Late","Ask for a new ETA and tracking number",IF(R160="Ship overdue","Ask why it hasn't shipped; get a firm ship date",IF(R160="At risk","Confirm the ship date this week",IF(R160="Stale","Request a status update",IF(R160="Closed","-","No action needed"))))))</f>
        <v/>
      </c>
      <c r="T160" s="30" t="str">
        <f aca="false">IF(OR(A160="",N160="",M160=""),"",IF(N160=0,"",M160/N160))</f>
        <v/>
      </c>
      <c r="U160" s="29" t="str">
        <f aca="false">IF(OR(T160="",I160="",R160="Closed"),"",IF(R160="Late","ETA passed: "&amp;ROUND(T160,0)&amp;" days of stock left",IF(Settings!$B$4+T160&lt;I160,"YES: "&amp;ROUND(I160-(Settings!$B$4+T160),0)&amp;" days short","No")))</f>
        <v/>
      </c>
      <c r="V160" s="31" t="str">
        <f aca="false">IF(R160="","",IF(OR(R160="Late",R160="Ship overdue",R160="Stale"),Settings!$B$4,IF(R160="At risk",Settings!$B$4+2,"")))</f>
        <v/>
      </c>
    </row>
    <row r="161" customFormat="false" ht="15" hidden="false" customHeight="false" outlineLevel="0" collapsed="false">
      <c r="A161" s="32"/>
      <c r="B161" s="32"/>
      <c r="C161" s="32"/>
      <c r="D161" s="32"/>
      <c r="E161" s="33"/>
      <c r="F161" s="33"/>
      <c r="G161" s="34"/>
      <c r="H161" s="34"/>
      <c r="I161" s="34"/>
      <c r="J161" s="34"/>
      <c r="K161" s="32"/>
      <c r="L161" s="35"/>
      <c r="M161" s="33"/>
      <c r="N161" s="33"/>
      <c r="O161" s="27" t="str">
        <f aca="false">IF(A161="","",MAX(E161-F161,0))</f>
        <v/>
      </c>
      <c r="P161" s="28" t="str">
        <f aca="false">IF(OR(A161="",I161=""),"",MAX(Settings!$B$4-I161,0))</f>
        <v/>
      </c>
      <c r="Q161" s="28" t="str">
        <f aca="false">IF(OR(A161="",J161=""),"",Settings!$B$4-J161)</f>
        <v/>
      </c>
      <c r="R161" s="29" t="str">
        <f aca="false">IF(A161="","",IF(OR(K161="Received",AND(E161&lt;&gt;"",O161=0)),"Closed",IF(AND(I161&lt;&gt;"",Settings!$B$4&gt;I161),"Late",IF(AND(H161&lt;&gt;"",Settings!$B$4&gt;H161,K161&lt;&gt;"Shipped"),"Ship overdue",IF(OR(K161="Delayed",AND(I161&lt;&gt;"",I161-Settings!$B$4&lt;=Settings!$B$5,K161&lt;&gt;"Shipped")),"At risk",IF(AND(Q161&lt;&gt;"",Q161&gt;Settings!$B$6),"Stale","On track"))))))</f>
        <v/>
      </c>
      <c r="S161" s="29" t="str">
        <f aca="false">IF(R161="","",IF(R161="Late","Ask for a new ETA and tracking number",IF(R161="Ship overdue","Ask why it hasn't shipped; get a firm ship date",IF(R161="At risk","Confirm the ship date this week",IF(R161="Stale","Request a status update",IF(R161="Closed","-","No action needed"))))))</f>
        <v/>
      </c>
      <c r="T161" s="30" t="str">
        <f aca="false">IF(OR(A161="",N161="",M161=""),"",IF(N161=0,"",M161/N161))</f>
        <v/>
      </c>
      <c r="U161" s="29" t="str">
        <f aca="false">IF(OR(T161="",I161="",R161="Closed"),"",IF(R161="Late","ETA passed: "&amp;ROUND(T161,0)&amp;" days of stock left",IF(Settings!$B$4+T161&lt;I161,"YES: "&amp;ROUND(I161-(Settings!$B$4+T161),0)&amp;" days short","No")))</f>
        <v/>
      </c>
      <c r="V161" s="31" t="str">
        <f aca="false">IF(R161="","",IF(OR(R161="Late",R161="Ship overdue",R161="Stale"),Settings!$B$4,IF(R161="At risk",Settings!$B$4+2,"")))</f>
        <v/>
      </c>
    </row>
    <row r="162" customFormat="false" ht="15" hidden="false" customHeight="false" outlineLevel="0" collapsed="false">
      <c r="A162" s="32"/>
      <c r="B162" s="32"/>
      <c r="C162" s="32"/>
      <c r="D162" s="32"/>
      <c r="E162" s="33"/>
      <c r="F162" s="33"/>
      <c r="G162" s="34"/>
      <c r="H162" s="34"/>
      <c r="I162" s="34"/>
      <c r="J162" s="34"/>
      <c r="K162" s="32"/>
      <c r="L162" s="35"/>
      <c r="M162" s="33"/>
      <c r="N162" s="33"/>
      <c r="O162" s="27" t="str">
        <f aca="false">IF(A162="","",MAX(E162-F162,0))</f>
        <v/>
      </c>
      <c r="P162" s="28" t="str">
        <f aca="false">IF(OR(A162="",I162=""),"",MAX(Settings!$B$4-I162,0))</f>
        <v/>
      </c>
      <c r="Q162" s="28" t="str">
        <f aca="false">IF(OR(A162="",J162=""),"",Settings!$B$4-J162)</f>
        <v/>
      </c>
      <c r="R162" s="29" t="str">
        <f aca="false">IF(A162="","",IF(OR(K162="Received",AND(E162&lt;&gt;"",O162=0)),"Closed",IF(AND(I162&lt;&gt;"",Settings!$B$4&gt;I162),"Late",IF(AND(H162&lt;&gt;"",Settings!$B$4&gt;H162,K162&lt;&gt;"Shipped"),"Ship overdue",IF(OR(K162="Delayed",AND(I162&lt;&gt;"",I162-Settings!$B$4&lt;=Settings!$B$5,K162&lt;&gt;"Shipped")),"At risk",IF(AND(Q162&lt;&gt;"",Q162&gt;Settings!$B$6),"Stale","On track"))))))</f>
        <v/>
      </c>
      <c r="S162" s="29" t="str">
        <f aca="false">IF(R162="","",IF(R162="Late","Ask for a new ETA and tracking number",IF(R162="Ship overdue","Ask why it hasn't shipped; get a firm ship date",IF(R162="At risk","Confirm the ship date this week",IF(R162="Stale","Request a status update",IF(R162="Closed","-","No action needed"))))))</f>
        <v/>
      </c>
      <c r="T162" s="30" t="str">
        <f aca="false">IF(OR(A162="",N162="",M162=""),"",IF(N162=0,"",M162/N162))</f>
        <v/>
      </c>
      <c r="U162" s="29" t="str">
        <f aca="false">IF(OR(T162="",I162="",R162="Closed"),"",IF(R162="Late","ETA passed: "&amp;ROUND(T162,0)&amp;" days of stock left",IF(Settings!$B$4+T162&lt;I162,"YES: "&amp;ROUND(I162-(Settings!$B$4+T162),0)&amp;" days short","No")))</f>
        <v/>
      </c>
      <c r="V162" s="31" t="str">
        <f aca="false">IF(R162="","",IF(OR(R162="Late",R162="Ship overdue",R162="Stale"),Settings!$B$4,IF(R162="At risk",Settings!$B$4+2,"")))</f>
        <v/>
      </c>
    </row>
    <row r="163" customFormat="false" ht="15" hidden="false" customHeight="false" outlineLevel="0" collapsed="false">
      <c r="A163" s="32"/>
      <c r="B163" s="32"/>
      <c r="C163" s="32"/>
      <c r="D163" s="32"/>
      <c r="E163" s="33"/>
      <c r="F163" s="33"/>
      <c r="G163" s="34"/>
      <c r="H163" s="34"/>
      <c r="I163" s="34"/>
      <c r="J163" s="34"/>
      <c r="K163" s="32"/>
      <c r="L163" s="35"/>
      <c r="M163" s="33"/>
      <c r="N163" s="33"/>
      <c r="O163" s="27" t="str">
        <f aca="false">IF(A163="","",MAX(E163-F163,0))</f>
        <v/>
      </c>
      <c r="P163" s="28" t="str">
        <f aca="false">IF(OR(A163="",I163=""),"",MAX(Settings!$B$4-I163,0))</f>
        <v/>
      </c>
      <c r="Q163" s="28" t="str">
        <f aca="false">IF(OR(A163="",J163=""),"",Settings!$B$4-J163)</f>
        <v/>
      </c>
      <c r="R163" s="29" t="str">
        <f aca="false">IF(A163="","",IF(OR(K163="Received",AND(E163&lt;&gt;"",O163=0)),"Closed",IF(AND(I163&lt;&gt;"",Settings!$B$4&gt;I163),"Late",IF(AND(H163&lt;&gt;"",Settings!$B$4&gt;H163,K163&lt;&gt;"Shipped"),"Ship overdue",IF(OR(K163="Delayed",AND(I163&lt;&gt;"",I163-Settings!$B$4&lt;=Settings!$B$5,K163&lt;&gt;"Shipped")),"At risk",IF(AND(Q163&lt;&gt;"",Q163&gt;Settings!$B$6),"Stale","On track"))))))</f>
        <v/>
      </c>
      <c r="S163" s="29" t="str">
        <f aca="false">IF(R163="","",IF(R163="Late","Ask for a new ETA and tracking number",IF(R163="Ship overdue","Ask why it hasn't shipped; get a firm ship date",IF(R163="At risk","Confirm the ship date this week",IF(R163="Stale","Request a status update",IF(R163="Closed","-","No action needed"))))))</f>
        <v/>
      </c>
      <c r="T163" s="30" t="str">
        <f aca="false">IF(OR(A163="",N163="",M163=""),"",IF(N163=0,"",M163/N163))</f>
        <v/>
      </c>
      <c r="U163" s="29" t="str">
        <f aca="false">IF(OR(T163="",I163="",R163="Closed"),"",IF(R163="Late","ETA passed: "&amp;ROUND(T163,0)&amp;" days of stock left",IF(Settings!$B$4+T163&lt;I163,"YES: "&amp;ROUND(I163-(Settings!$B$4+T163),0)&amp;" days short","No")))</f>
        <v/>
      </c>
      <c r="V163" s="31" t="str">
        <f aca="false">IF(R163="","",IF(OR(R163="Late",R163="Ship overdue",R163="Stale"),Settings!$B$4,IF(R163="At risk",Settings!$B$4+2,"")))</f>
        <v/>
      </c>
    </row>
    <row r="164" customFormat="false" ht="15" hidden="false" customHeight="false" outlineLevel="0" collapsed="false">
      <c r="A164" s="32"/>
      <c r="B164" s="32"/>
      <c r="C164" s="32"/>
      <c r="D164" s="32"/>
      <c r="E164" s="33"/>
      <c r="F164" s="33"/>
      <c r="G164" s="34"/>
      <c r="H164" s="34"/>
      <c r="I164" s="34"/>
      <c r="J164" s="34"/>
      <c r="K164" s="32"/>
      <c r="L164" s="35"/>
      <c r="M164" s="33"/>
      <c r="N164" s="33"/>
      <c r="O164" s="27" t="str">
        <f aca="false">IF(A164="","",MAX(E164-F164,0))</f>
        <v/>
      </c>
      <c r="P164" s="28" t="str">
        <f aca="false">IF(OR(A164="",I164=""),"",MAX(Settings!$B$4-I164,0))</f>
        <v/>
      </c>
      <c r="Q164" s="28" t="str">
        <f aca="false">IF(OR(A164="",J164=""),"",Settings!$B$4-J164)</f>
        <v/>
      </c>
      <c r="R164" s="29" t="str">
        <f aca="false">IF(A164="","",IF(OR(K164="Received",AND(E164&lt;&gt;"",O164=0)),"Closed",IF(AND(I164&lt;&gt;"",Settings!$B$4&gt;I164),"Late",IF(AND(H164&lt;&gt;"",Settings!$B$4&gt;H164,K164&lt;&gt;"Shipped"),"Ship overdue",IF(OR(K164="Delayed",AND(I164&lt;&gt;"",I164-Settings!$B$4&lt;=Settings!$B$5,K164&lt;&gt;"Shipped")),"At risk",IF(AND(Q164&lt;&gt;"",Q164&gt;Settings!$B$6),"Stale","On track"))))))</f>
        <v/>
      </c>
      <c r="S164" s="29" t="str">
        <f aca="false">IF(R164="","",IF(R164="Late","Ask for a new ETA and tracking number",IF(R164="Ship overdue","Ask why it hasn't shipped; get a firm ship date",IF(R164="At risk","Confirm the ship date this week",IF(R164="Stale","Request a status update",IF(R164="Closed","-","No action needed"))))))</f>
        <v/>
      </c>
      <c r="T164" s="30" t="str">
        <f aca="false">IF(OR(A164="",N164="",M164=""),"",IF(N164=0,"",M164/N164))</f>
        <v/>
      </c>
      <c r="U164" s="29" t="str">
        <f aca="false">IF(OR(T164="",I164="",R164="Closed"),"",IF(R164="Late","ETA passed: "&amp;ROUND(T164,0)&amp;" days of stock left",IF(Settings!$B$4+T164&lt;I164,"YES: "&amp;ROUND(I164-(Settings!$B$4+T164),0)&amp;" days short","No")))</f>
        <v/>
      </c>
      <c r="V164" s="31" t="str">
        <f aca="false">IF(R164="","",IF(OR(R164="Late",R164="Ship overdue",R164="Stale"),Settings!$B$4,IF(R164="At risk",Settings!$B$4+2,"")))</f>
        <v/>
      </c>
    </row>
    <row r="165" customFormat="false" ht="15" hidden="false" customHeight="false" outlineLevel="0" collapsed="false">
      <c r="A165" s="32"/>
      <c r="B165" s="32"/>
      <c r="C165" s="32"/>
      <c r="D165" s="32"/>
      <c r="E165" s="33"/>
      <c r="F165" s="33"/>
      <c r="G165" s="34"/>
      <c r="H165" s="34"/>
      <c r="I165" s="34"/>
      <c r="J165" s="34"/>
      <c r="K165" s="32"/>
      <c r="L165" s="35"/>
      <c r="M165" s="33"/>
      <c r="N165" s="33"/>
      <c r="O165" s="27" t="str">
        <f aca="false">IF(A165="","",MAX(E165-F165,0))</f>
        <v/>
      </c>
      <c r="P165" s="28" t="str">
        <f aca="false">IF(OR(A165="",I165=""),"",MAX(Settings!$B$4-I165,0))</f>
        <v/>
      </c>
      <c r="Q165" s="28" t="str">
        <f aca="false">IF(OR(A165="",J165=""),"",Settings!$B$4-J165)</f>
        <v/>
      </c>
      <c r="R165" s="29" t="str">
        <f aca="false">IF(A165="","",IF(OR(K165="Received",AND(E165&lt;&gt;"",O165=0)),"Closed",IF(AND(I165&lt;&gt;"",Settings!$B$4&gt;I165),"Late",IF(AND(H165&lt;&gt;"",Settings!$B$4&gt;H165,K165&lt;&gt;"Shipped"),"Ship overdue",IF(OR(K165="Delayed",AND(I165&lt;&gt;"",I165-Settings!$B$4&lt;=Settings!$B$5,K165&lt;&gt;"Shipped")),"At risk",IF(AND(Q165&lt;&gt;"",Q165&gt;Settings!$B$6),"Stale","On track"))))))</f>
        <v/>
      </c>
      <c r="S165" s="29" t="str">
        <f aca="false">IF(R165="","",IF(R165="Late","Ask for a new ETA and tracking number",IF(R165="Ship overdue","Ask why it hasn't shipped; get a firm ship date",IF(R165="At risk","Confirm the ship date this week",IF(R165="Stale","Request a status update",IF(R165="Closed","-","No action needed"))))))</f>
        <v/>
      </c>
      <c r="T165" s="30" t="str">
        <f aca="false">IF(OR(A165="",N165="",M165=""),"",IF(N165=0,"",M165/N165))</f>
        <v/>
      </c>
      <c r="U165" s="29" t="str">
        <f aca="false">IF(OR(T165="",I165="",R165="Closed"),"",IF(R165="Late","ETA passed: "&amp;ROUND(T165,0)&amp;" days of stock left",IF(Settings!$B$4+T165&lt;I165,"YES: "&amp;ROUND(I165-(Settings!$B$4+T165),0)&amp;" days short","No")))</f>
        <v/>
      </c>
      <c r="V165" s="31" t="str">
        <f aca="false">IF(R165="","",IF(OR(R165="Late",R165="Ship overdue",R165="Stale"),Settings!$B$4,IF(R165="At risk",Settings!$B$4+2,"")))</f>
        <v/>
      </c>
    </row>
    <row r="166" customFormat="false" ht="15" hidden="false" customHeight="false" outlineLevel="0" collapsed="false">
      <c r="A166" s="32"/>
      <c r="B166" s="32"/>
      <c r="C166" s="32"/>
      <c r="D166" s="32"/>
      <c r="E166" s="33"/>
      <c r="F166" s="33"/>
      <c r="G166" s="34"/>
      <c r="H166" s="34"/>
      <c r="I166" s="34"/>
      <c r="J166" s="34"/>
      <c r="K166" s="32"/>
      <c r="L166" s="35"/>
      <c r="M166" s="33"/>
      <c r="N166" s="33"/>
      <c r="O166" s="27" t="str">
        <f aca="false">IF(A166="","",MAX(E166-F166,0))</f>
        <v/>
      </c>
      <c r="P166" s="28" t="str">
        <f aca="false">IF(OR(A166="",I166=""),"",MAX(Settings!$B$4-I166,0))</f>
        <v/>
      </c>
      <c r="Q166" s="28" t="str">
        <f aca="false">IF(OR(A166="",J166=""),"",Settings!$B$4-J166)</f>
        <v/>
      </c>
      <c r="R166" s="29" t="str">
        <f aca="false">IF(A166="","",IF(OR(K166="Received",AND(E166&lt;&gt;"",O166=0)),"Closed",IF(AND(I166&lt;&gt;"",Settings!$B$4&gt;I166),"Late",IF(AND(H166&lt;&gt;"",Settings!$B$4&gt;H166,K166&lt;&gt;"Shipped"),"Ship overdue",IF(OR(K166="Delayed",AND(I166&lt;&gt;"",I166-Settings!$B$4&lt;=Settings!$B$5,K166&lt;&gt;"Shipped")),"At risk",IF(AND(Q166&lt;&gt;"",Q166&gt;Settings!$B$6),"Stale","On track"))))))</f>
        <v/>
      </c>
      <c r="S166" s="29" t="str">
        <f aca="false">IF(R166="","",IF(R166="Late","Ask for a new ETA and tracking number",IF(R166="Ship overdue","Ask why it hasn't shipped; get a firm ship date",IF(R166="At risk","Confirm the ship date this week",IF(R166="Stale","Request a status update",IF(R166="Closed","-","No action needed"))))))</f>
        <v/>
      </c>
      <c r="T166" s="30" t="str">
        <f aca="false">IF(OR(A166="",N166="",M166=""),"",IF(N166=0,"",M166/N166))</f>
        <v/>
      </c>
      <c r="U166" s="29" t="str">
        <f aca="false">IF(OR(T166="",I166="",R166="Closed"),"",IF(R166="Late","ETA passed: "&amp;ROUND(T166,0)&amp;" days of stock left",IF(Settings!$B$4+T166&lt;I166,"YES: "&amp;ROUND(I166-(Settings!$B$4+T166),0)&amp;" days short","No")))</f>
        <v/>
      </c>
      <c r="V166" s="31" t="str">
        <f aca="false">IF(R166="","",IF(OR(R166="Late",R166="Ship overdue",R166="Stale"),Settings!$B$4,IF(R166="At risk",Settings!$B$4+2,"")))</f>
        <v/>
      </c>
    </row>
    <row r="167" customFormat="false" ht="15" hidden="false" customHeight="false" outlineLevel="0" collapsed="false">
      <c r="A167" s="32"/>
      <c r="B167" s="32"/>
      <c r="C167" s="32"/>
      <c r="D167" s="32"/>
      <c r="E167" s="33"/>
      <c r="F167" s="33"/>
      <c r="G167" s="34"/>
      <c r="H167" s="34"/>
      <c r="I167" s="34"/>
      <c r="J167" s="34"/>
      <c r="K167" s="32"/>
      <c r="L167" s="35"/>
      <c r="M167" s="33"/>
      <c r="N167" s="33"/>
      <c r="O167" s="27" t="str">
        <f aca="false">IF(A167="","",MAX(E167-F167,0))</f>
        <v/>
      </c>
      <c r="P167" s="28" t="str">
        <f aca="false">IF(OR(A167="",I167=""),"",MAX(Settings!$B$4-I167,0))</f>
        <v/>
      </c>
      <c r="Q167" s="28" t="str">
        <f aca="false">IF(OR(A167="",J167=""),"",Settings!$B$4-J167)</f>
        <v/>
      </c>
      <c r="R167" s="29" t="str">
        <f aca="false">IF(A167="","",IF(OR(K167="Received",AND(E167&lt;&gt;"",O167=0)),"Closed",IF(AND(I167&lt;&gt;"",Settings!$B$4&gt;I167),"Late",IF(AND(H167&lt;&gt;"",Settings!$B$4&gt;H167,K167&lt;&gt;"Shipped"),"Ship overdue",IF(OR(K167="Delayed",AND(I167&lt;&gt;"",I167-Settings!$B$4&lt;=Settings!$B$5,K167&lt;&gt;"Shipped")),"At risk",IF(AND(Q167&lt;&gt;"",Q167&gt;Settings!$B$6),"Stale","On track"))))))</f>
        <v/>
      </c>
      <c r="S167" s="29" t="str">
        <f aca="false">IF(R167="","",IF(R167="Late","Ask for a new ETA and tracking number",IF(R167="Ship overdue","Ask why it hasn't shipped; get a firm ship date",IF(R167="At risk","Confirm the ship date this week",IF(R167="Stale","Request a status update",IF(R167="Closed","-","No action needed"))))))</f>
        <v/>
      </c>
      <c r="T167" s="30" t="str">
        <f aca="false">IF(OR(A167="",N167="",M167=""),"",IF(N167=0,"",M167/N167))</f>
        <v/>
      </c>
      <c r="U167" s="29" t="str">
        <f aca="false">IF(OR(T167="",I167="",R167="Closed"),"",IF(R167="Late","ETA passed: "&amp;ROUND(T167,0)&amp;" days of stock left",IF(Settings!$B$4+T167&lt;I167,"YES: "&amp;ROUND(I167-(Settings!$B$4+T167),0)&amp;" days short","No")))</f>
        <v/>
      </c>
      <c r="V167" s="31" t="str">
        <f aca="false">IF(R167="","",IF(OR(R167="Late",R167="Ship overdue",R167="Stale"),Settings!$B$4,IF(R167="At risk",Settings!$B$4+2,"")))</f>
        <v/>
      </c>
    </row>
    <row r="168" customFormat="false" ht="15" hidden="false" customHeight="false" outlineLevel="0" collapsed="false">
      <c r="A168" s="32"/>
      <c r="B168" s="32"/>
      <c r="C168" s="32"/>
      <c r="D168" s="32"/>
      <c r="E168" s="33"/>
      <c r="F168" s="33"/>
      <c r="G168" s="34"/>
      <c r="H168" s="34"/>
      <c r="I168" s="34"/>
      <c r="J168" s="34"/>
      <c r="K168" s="32"/>
      <c r="L168" s="35"/>
      <c r="M168" s="33"/>
      <c r="N168" s="33"/>
      <c r="O168" s="27" t="str">
        <f aca="false">IF(A168="","",MAX(E168-F168,0))</f>
        <v/>
      </c>
      <c r="P168" s="28" t="str">
        <f aca="false">IF(OR(A168="",I168=""),"",MAX(Settings!$B$4-I168,0))</f>
        <v/>
      </c>
      <c r="Q168" s="28" t="str">
        <f aca="false">IF(OR(A168="",J168=""),"",Settings!$B$4-J168)</f>
        <v/>
      </c>
      <c r="R168" s="29" t="str">
        <f aca="false">IF(A168="","",IF(OR(K168="Received",AND(E168&lt;&gt;"",O168=0)),"Closed",IF(AND(I168&lt;&gt;"",Settings!$B$4&gt;I168),"Late",IF(AND(H168&lt;&gt;"",Settings!$B$4&gt;H168,K168&lt;&gt;"Shipped"),"Ship overdue",IF(OR(K168="Delayed",AND(I168&lt;&gt;"",I168-Settings!$B$4&lt;=Settings!$B$5,K168&lt;&gt;"Shipped")),"At risk",IF(AND(Q168&lt;&gt;"",Q168&gt;Settings!$B$6),"Stale","On track"))))))</f>
        <v/>
      </c>
      <c r="S168" s="29" t="str">
        <f aca="false">IF(R168="","",IF(R168="Late","Ask for a new ETA and tracking number",IF(R168="Ship overdue","Ask why it hasn't shipped; get a firm ship date",IF(R168="At risk","Confirm the ship date this week",IF(R168="Stale","Request a status update",IF(R168="Closed","-","No action needed"))))))</f>
        <v/>
      </c>
      <c r="T168" s="30" t="str">
        <f aca="false">IF(OR(A168="",N168="",M168=""),"",IF(N168=0,"",M168/N168))</f>
        <v/>
      </c>
      <c r="U168" s="29" t="str">
        <f aca="false">IF(OR(T168="",I168="",R168="Closed"),"",IF(R168="Late","ETA passed: "&amp;ROUND(T168,0)&amp;" days of stock left",IF(Settings!$B$4+T168&lt;I168,"YES: "&amp;ROUND(I168-(Settings!$B$4+T168),0)&amp;" days short","No")))</f>
        <v/>
      </c>
      <c r="V168" s="31" t="str">
        <f aca="false">IF(R168="","",IF(OR(R168="Late",R168="Ship overdue",R168="Stale"),Settings!$B$4,IF(R168="At risk",Settings!$B$4+2,"")))</f>
        <v/>
      </c>
    </row>
    <row r="169" customFormat="false" ht="15" hidden="false" customHeight="false" outlineLevel="0" collapsed="false">
      <c r="A169" s="32"/>
      <c r="B169" s="32"/>
      <c r="C169" s="32"/>
      <c r="D169" s="32"/>
      <c r="E169" s="33"/>
      <c r="F169" s="33"/>
      <c r="G169" s="34"/>
      <c r="H169" s="34"/>
      <c r="I169" s="34"/>
      <c r="J169" s="34"/>
      <c r="K169" s="32"/>
      <c r="L169" s="35"/>
      <c r="M169" s="33"/>
      <c r="N169" s="33"/>
      <c r="O169" s="27" t="str">
        <f aca="false">IF(A169="","",MAX(E169-F169,0))</f>
        <v/>
      </c>
      <c r="P169" s="28" t="str">
        <f aca="false">IF(OR(A169="",I169=""),"",MAX(Settings!$B$4-I169,0))</f>
        <v/>
      </c>
      <c r="Q169" s="28" t="str">
        <f aca="false">IF(OR(A169="",J169=""),"",Settings!$B$4-J169)</f>
        <v/>
      </c>
      <c r="R169" s="29" t="str">
        <f aca="false">IF(A169="","",IF(OR(K169="Received",AND(E169&lt;&gt;"",O169=0)),"Closed",IF(AND(I169&lt;&gt;"",Settings!$B$4&gt;I169),"Late",IF(AND(H169&lt;&gt;"",Settings!$B$4&gt;H169,K169&lt;&gt;"Shipped"),"Ship overdue",IF(OR(K169="Delayed",AND(I169&lt;&gt;"",I169-Settings!$B$4&lt;=Settings!$B$5,K169&lt;&gt;"Shipped")),"At risk",IF(AND(Q169&lt;&gt;"",Q169&gt;Settings!$B$6),"Stale","On track"))))))</f>
        <v/>
      </c>
      <c r="S169" s="29" t="str">
        <f aca="false">IF(R169="","",IF(R169="Late","Ask for a new ETA and tracking number",IF(R169="Ship overdue","Ask why it hasn't shipped; get a firm ship date",IF(R169="At risk","Confirm the ship date this week",IF(R169="Stale","Request a status update",IF(R169="Closed","-","No action needed"))))))</f>
        <v/>
      </c>
      <c r="T169" s="30" t="str">
        <f aca="false">IF(OR(A169="",N169="",M169=""),"",IF(N169=0,"",M169/N169))</f>
        <v/>
      </c>
      <c r="U169" s="29" t="str">
        <f aca="false">IF(OR(T169="",I169="",R169="Closed"),"",IF(R169="Late","ETA passed: "&amp;ROUND(T169,0)&amp;" days of stock left",IF(Settings!$B$4+T169&lt;I169,"YES: "&amp;ROUND(I169-(Settings!$B$4+T169),0)&amp;" days short","No")))</f>
        <v/>
      </c>
      <c r="V169" s="31" t="str">
        <f aca="false">IF(R169="","",IF(OR(R169="Late",R169="Ship overdue",R169="Stale"),Settings!$B$4,IF(R169="At risk",Settings!$B$4+2,"")))</f>
        <v/>
      </c>
    </row>
    <row r="170" customFormat="false" ht="15" hidden="false" customHeight="false" outlineLevel="0" collapsed="false">
      <c r="A170" s="32"/>
      <c r="B170" s="32"/>
      <c r="C170" s="32"/>
      <c r="D170" s="32"/>
      <c r="E170" s="33"/>
      <c r="F170" s="33"/>
      <c r="G170" s="34"/>
      <c r="H170" s="34"/>
      <c r="I170" s="34"/>
      <c r="J170" s="34"/>
      <c r="K170" s="32"/>
      <c r="L170" s="35"/>
      <c r="M170" s="33"/>
      <c r="N170" s="33"/>
      <c r="O170" s="27" t="str">
        <f aca="false">IF(A170="","",MAX(E170-F170,0))</f>
        <v/>
      </c>
      <c r="P170" s="28" t="str">
        <f aca="false">IF(OR(A170="",I170=""),"",MAX(Settings!$B$4-I170,0))</f>
        <v/>
      </c>
      <c r="Q170" s="28" t="str">
        <f aca="false">IF(OR(A170="",J170=""),"",Settings!$B$4-J170)</f>
        <v/>
      </c>
      <c r="R170" s="29" t="str">
        <f aca="false">IF(A170="","",IF(OR(K170="Received",AND(E170&lt;&gt;"",O170=0)),"Closed",IF(AND(I170&lt;&gt;"",Settings!$B$4&gt;I170),"Late",IF(AND(H170&lt;&gt;"",Settings!$B$4&gt;H170,K170&lt;&gt;"Shipped"),"Ship overdue",IF(OR(K170="Delayed",AND(I170&lt;&gt;"",I170-Settings!$B$4&lt;=Settings!$B$5,K170&lt;&gt;"Shipped")),"At risk",IF(AND(Q170&lt;&gt;"",Q170&gt;Settings!$B$6),"Stale","On track"))))))</f>
        <v/>
      </c>
      <c r="S170" s="29" t="str">
        <f aca="false">IF(R170="","",IF(R170="Late","Ask for a new ETA and tracking number",IF(R170="Ship overdue","Ask why it hasn't shipped; get a firm ship date",IF(R170="At risk","Confirm the ship date this week",IF(R170="Stale","Request a status update",IF(R170="Closed","-","No action needed"))))))</f>
        <v/>
      </c>
      <c r="T170" s="30" t="str">
        <f aca="false">IF(OR(A170="",N170="",M170=""),"",IF(N170=0,"",M170/N170))</f>
        <v/>
      </c>
      <c r="U170" s="29" t="str">
        <f aca="false">IF(OR(T170="",I170="",R170="Closed"),"",IF(R170="Late","ETA passed: "&amp;ROUND(T170,0)&amp;" days of stock left",IF(Settings!$B$4+T170&lt;I170,"YES: "&amp;ROUND(I170-(Settings!$B$4+T170),0)&amp;" days short","No")))</f>
        <v/>
      </c>
      <c r="V170" s="31" t="str">
        <f aca="false">IF(R170="","",IF(OR(R170="Late",R170="Ship overdue",R170="Stale"),Settings!$B$4,IF(R170="At risk",Settings!$B$4+2,"")))</f>
        <v/>
      </c>
    </row>
    <row r="171" customFormat="false" ht="15" hidden="false" customHeight="false" outlineLevel="0" collapsed="false">
      <c r="A171" s="32"/>
      <c r="B171" s="32"/>
      <c r="C171" s="32"/>
      <c r="D171" s="32"/>
      <c r="E171" s="33"/>
      <c r="F171" s="33"/>
      <c r="G171" s="34"/>
      <c r="H171" s="34"/>
      <c r="I171" s="34"/>
      <c r="J171" s="34"/>
      <c r="K171" s="32"/>
      <c r="L171" s="35"/>
      <c r="M171" s="33"/>
      <c r="N171" s="33"/>
      <c r="O171" s="27" t="str">
        <f aca="false">IF(A171="","",MAX(E171-F171,0))</f>
        <v/>
      </c>
      <c r="P171" s="28" t="str">
        <f aca="false">IF(OR(A171="",I171=""),"",MAX(Settings!$B$4-I171,0))</f>
        <v/>
      </c>
      <c r="Q171" s="28" t="str">
        <f aca="false">IF(OR(A171="",J171=""),"",Settings!$B$4-J171)</f>
        <v/>
      </c>
      <c r="R171" s="29" t="str">
        <f aca="false">IF(A171="","",IF(OR(K171="Received",AND(E171&lt;&gt;"",O171=0)),"Closed",IF(AND(I171&lt;&gt;"",Settings!$B$4&gt;I171),"Late",IF(AND(H171&lt;&gt;"",Settings!$B$4&gt;H171,K171&lt;&gt;"Shipped"),"Ship overdue",IF(OR(K171="Delayed",AND(I171&lt;&gt;"",I171-Settings!$B$4&lt;=Settings!$B$5,K171&lt;&gt;"Shipped")),"At risk",IF(AND(Q171&lt;&gt;"",Q171&gt;Settings!$B$6),"Stale","On track"))))))</f>
        <v/>
      </c>
      <c r="S171" s="29" t="str">
        <f aca="false">IF(R171="","",IF(R171="Late","Ask for a new ETA and tracking number",IF(R171="Ship overdue","Ask why it hasn't shipped; get a firm ship date",IF(R171="At risk","Confirm the ship date this week",IF(R171="Stale","Request a status update",IF(R171="Closed","-","No action needed"))))))</f>
        <v/>
      </c>
      <c r="T171" s="30" t="str">
        <f aca="false">IF(OR(A171="",N171="",M171=""),"",IF(N171=0,"",M171/N171))</f>
        <v/>
      </c>
      <c r="U171" s="29" t="str">
        <f aca="false">IF(OR(T171="",I171="",R171="Closed"),"",IF(R171="Late","ETA passed: "&amp;ROUND(T171,0)&amp;" days of stock left",IF(Settings!$B$4+T171&lt;I171,"YES: "&amp;ROUND(I171-(Settings!$B$4+T171),0)&amp;" days short","No")))</f>
        <v/>
      </c>
      <c r="V171" s="31" t="str">
        <f aca="false">IF(R171="","",IF(OR(R171="Late",R171="Ship overdue",R171="Stale"),Settings!$B$4,IF(R171="At risk",Settings!$B$4+2,"")))</f>
        <v/>
      </c>
    </row>
    <row r="172" customFormat="false" ht="15" hidden="false" customHeight="false" outlineLevel="0" collapsed="false">
      <c r="A172" s="32"/>
      <c r="B172" s="32"/>
      <c r="C172" s="32"/>
      <c r="D172" s="32"/>
      <c r="E172" s="33"/>
      <c r="F172" s="33"/>
      <c r="G172" s="34"/>
      <c r="H172" s="34"/>
      <c r="I172" s="34"/>
      <c r="J172" s="34"/>
      <c r="K172" s="32"/>
      <c r="L172" s="35"/>
      <c r="M172" s="33"/>
      <c r="N172" s="33"/>
      <c r="O172" s="27" t="str">
        <f aca="false">IF(A172="","",MAX(E172-F172,0))</f>
        <v/>
      </c>
      <c r="P172" s="28" t="str">
        <f aca="false">IF(OR(A172="",I172=""),"",MAX(Settings!$B$4-I172,0))</f>
        <v/>
      </c>
      <c r="Q172" s="28" t="str">
        <f aca="false">IF(OR(A172="",J172=""),"",Settings!$B$4-J172)</f>
        <v/>
      </c>
      <c r="R172" s="29" t="str">
        <f aca="false">IF(A172="","",IF(OR(K172="Received",AND(E172&lt;&gt;"",O172=0)),"Closed",IF(AND(I172&lt;&gt;"",Settings!$B$4&gt;I172),"Late",IF(AND(H172&lt;&gt;"",Settings!$B$4&gt;H172,K172&lt;&gt;"Shipped"),"Ship overdue",IF(OR(K172="Delayed",AND(I172&lt;&gt;"",I172-Settings!$B$4&lt;=Settings!$B$5,K172&lt;&gt;"Shipped")),"At risk",IF(AND(Q172&lt;&gt;"",Q172&gt;Settings!$B$6),"Stale","On track"))))))</f>
        <v/>
      </c>
      <c r="S172" s="29" t="str">
        <f aca="false">IF(R172="","",IF(R172="Late","Ask for a new ETA and tracking number",IF(R172="Ship overdue","Ask why it hasn't shipped; get a firm ship date",IF(R172="At risk","Confirm the ship date this week",IF(R172="Stale","Request a status update",IF(R172="Closed","-","No action needed"))))))</f>
        <v/>
      </c>
      <c r="T172" s="30" t="str">
        <f aca="false">IF(OR(A172="",N172="",M172=""),"",IF(N172=0,"",M172/N172))</f>
        <v/>
      </c>
      <c r="U172" s="29" t="str">
        <f aca="false">IF(OR(T172="",I172="",R172="Closed"),"",IF(R172="Late","ETA passed: "&amp;ROUND(T172,0)&amp;" days of stock left",IF(Settings!$B$4+T172&lt;I172,"YES: "&amp;ROUND(I172-(Settings!$B$4+T172),0)&amp;" days short","No")))</f>
        <v/>
      </c>
      <c r="V172" s="31" t="str">
        <f aca="false">IF(R172="","",IF(OR(R172="Late",R172="Ship overdue",R172="Stale"),Settings!$B$4,IF(R172="At risk",Settings!$B$4+2,"")))</f>
        <v/>
      </c>
    </row>
    <row r="173" customFormat="false" ht="15" hidden="false" customHeight="false" outlineLevel="0" collapsed="false">
      <c r="A173" s="32"/>
      <c r="B173" s="32"/>
      <c r="C173" s="32"/>
      <c r="D173" s="32"/>
      <c r="E173" s="33"/>
      <c r="F173" s="33"/>
      <c r="G173" s="34"/>
      <c r="H173" s="34"/>
      <c r="I173" s="34"/>
      <c r="J173" s="34"/>
      <c r="K173" s="32"/>
      <c r="L173" s="35"/>
      <c r="M173" s="33"/>
      <c r="N173" s="33"/>
      <c r="O173" s="27" t="str">
        <f aca="false">IF(A173="","",MAX(E173-F173,0))</f>
        <v/>
      </c>
      <c r="P173" s="28" t="str">
        <f aca="false">IF(OR(A173="",I173=""),"",MAX(Settings!$B$4-I173,0))</f>
        <v/>
      </c>
      <c r="Q173" s="28" t="str">
        <f aca="false">IF(OR(A173="",J173=""),"",Settings!$B$4-J173)</f>
        <v/>
      </c>
      <c r="R173" s="29" t="str">
        <f aca="false">IF(A173="","",IF(OR(K173="Received",AND(E173&lt;&gt;"",O173=0)),"Closed",IF(AND(I173&lt;&gt;"",Settings!$B$4&gt;I173),"Late",IF(AND(H173&lt;&gt;"",Settings!$B$4&gt;H173,K173&lt;&gt;"Shipped"),"Ship overdue",IF(OR(K173="Delayed",AND(I173&lt;&gt;"",I173-Settings!$B$4&lt;=Settings!$B$5,K173&lt;&gt;"Shipped")),"At risk",IF(AND(Q173&lt;&gt;"",Q173&gt;Settings!$B$6),"Stale","On track"))))))</f>
        <v/>
      </c>
      <c r="S173" s="29" t="str">
        <f aca="false">IF(R173="","",IF(R173="Late","Ask for a new ETA and tracking number",IF(R173="Ship overdue","Ask why it hasn't shipped; get a firm ship date",IF(R173="At risk","Confirm the ship date this week",IF(R173="Stale","Request a status update",IF(R173="Closed","-","No action needed"))))))</f>
        <v/>
      </c>
      <c r="T173" s="30" t="str">
        <f aca="false">IF(OR(A173="",N173="",M173=""),"",IF(N173=0,"",M173/N173))</f>
        <v/>
      </c>
      <c r="U173" s="29" t="str">
        <f aca="false">IF(OR(T173="",I173="",R173="Closed"),"",IF(R173="Late","ETA passed: "&amp;ROUND(T173,0)&amp;" days of stock left",IF(Settings!$B$4+T173&lt;I173,"YES: "&amp;ROUND(I173-(Settings!$B$4+T173),0)&amp;" days short","No")))</f>
        <v/>
      </c>
      <c r="V173" s="31" t="str">
        <f aca="false">IF(R173="","",IF(OR(R173="Late",R173="Ship overdue",R173="Stale"),Settings!$B$4,IF(R173="At risk",Settings!$B$4+2,"")))</f>
        <v/>
      </c>
    </row>
    <row r="174" customFormat="false" ht="15" hidden="false" customHeight="false" outlineLevel="0" collapsed="false">
      <c r="A174" s="32"/>
      <c r="B174" s="32"/>
      <c r="C174" s="32"/>
      <c r="D174" s="32"/>
      <c r="E174" s="33"/>
      <c r="F174" s="33"/>
      <c r="G174" s="34"/>
      <c r="H174" s="34"/>
      <c r="I174" s="34"/>
      <c r="J174" s="34"/>
      <c r="K174" s="32"/>
      <c r="L174" s="35"/>
      <c r="M174" s="33"/>
      <c r="N174" s="33"/>
      <c r="O174" s="27" t="str">
        <f aca="false">IF(A174="","",MAX(E174-F174,0))</f>
        <v/>
      </c>
      <c r="P174" s="28" t="str">
        <f aca="false">IF(OR(A174="",I174=""),"",MAX(Settings!$B$4-I174,0))</f>
        <v/>
      </c>
      <c r="Q174" s="28" t="str">
        <f aca="false">IF(OR(A174="",J174=""),"",Settings!$B$4-J174)</f>
        <v/>
      </c>
      <c r="R174" s="29" t="str">
        <f aca="false">IF(A174="","",IF(OR(K174="Received",AND(E174&lt;&gt;"",O174=0)),"Closed",IF(AND(I174&lt;&gt;"",Settings!$B$4&gt;I174),"Late",IF(AND(H174&lt;&gt;"",Settings!$B$4&gt;H174,K174&lt;&gt;"Shipped"),"Ship overdue",IF(OR(K174="Delayed",AND(I174&lt;&gt;"",I174-Settings!$B$4&lt;=Settings!$B$5,K174&lt;&gt;"Shipped")),"At risk",IF(AND(Q174&lt;&gt;"",Q174&gt;Settings!$B$6),"Stale","On track"))))))</f>
        <v/>
      </c>
      <c r="S174" s="29" t="str">
        <f aca="false">IF(R174="","",IF(R174="Late","Ask for a new ETA and tracking number",IF(R174="Ship overdue","Ask why it hasn't shipped; get a firm ship date",IF(R174="At risk","Confirm the ship date this week",IF(R174="Stale","Request a status update",IF(R174="Closed","-","No action needed"))))))</f>
        <v/>
      </c>
      <c r="T174" s="30" t="str">
        <f aca="false">IF(OR(A174="",N174="",M174=""),"",IF(N174=0,"",M174/N174))</f>
        <v/>
      </c>
      <c r="U174" s="29" t="str">
        <f aca="false">IF(OR(T174="",I174="",R174="Closed"),"",IF(R174="Late","ETA passed: "&amp;ROUND(T174,0)&amp;" days of stock left",IF(Settings!$B$4+T174&lt;I174,"YES: "&amp;ROUND(I174-(Settings!$B$4+T174),0)&amp;" days short","No")))</f>
        <v/>
      </c>
      <c r="V174" s="31" t="str">
        <f aca="false">IF(R174="","",IF(OR(R174="Late",R174="Ship overdue",R174="Stale"),Settings!$B$4,IF(R174="At risk",Settings!$B$4+2,"")))</f>
        <v/>
      </c>
    </row>
    <row r="175" customFormat="false" ht="15" hidden="false" customHeight="false" outlineLevel="0" collapsed="false">
      <c r="A175" s="32"/>
      <c r="B175" s="32"/>
      <c r="C175" s="32"/>
      <c r="D175" s="32"/>
      <c r="E175" s="33"/>
      <c r="F175" s="33"/>
      <c r="G175" s="34"/>
      <c r="H175" s="34"/>
      <c r="I175" s="34"/>
      <c r="J175" s="34"/>
      <c r="K175" s="32"/>
      <c r="L175" s="35"/>
      <c r="M175" s="33"/>
      <c r="N175" s="33"/>
      <c r="O175" s="27" t="str">
        <f aca="false">IF(A175="","",MAX(E175-F175,0))</f>
        <v/>
      </c>
      <c r="P175" s="28" t="str">
        <f aca="false">IF(OR(A175="",I175=""),"",MAX(Settings!$B$4-I175,0))</f>
        <v/>
      </c>
      <c r="Q175" s="28" t="str">
        <f aca="false">IF(OR(A175="",J175=""),"",Settings!$B$4-J175)</f>
        <v/>
      </c>
      <c r="R175" s="29" t="str">
        <f aca="false">IF(A175="","",IF(OR(K175="Received",AND(E175&lt;&gt;"",O175=0)),"Closed",IF(AND(I175&lt;&gt;"",Settings!$B$4&gt;I175),"Late",IF(AND(H175&lt;&gt;"",Settings!$B$4&gt;H175,K175&lt;&gt;"Shipped"),"Ship overdue",IF(OR(K175="Delayed",AND(I175&lt;&gt;"",I175-Settings!$B$4&lt;=Settings!$B$5,K175&lt;&gt;"Shipped")),"At risk",IF(AND(Q175&lt;&gt;"",Q175&gt;Settings!$B$6),"Stale","On track"))))))</f>
        <v/>
      </c>
      <c r="S175" s="29" t="str">
        <f aca="false">IF(R175="","",IF(R175="Late","Ask for a new ETA and tracking number",IF(R175="Ship overdue","Ask why it hasn't shipped; get a firm ship date",IF(R175="At risk","Confirm the ship date this week",IF(R175="Stale","Request a status update",IF(R175="Closed","-","No action needed"))))))</f>
        <v/>
      </c>
      <c r="T175" s="30" t="str">
        <f aca="false">IF(OR(A175="",N175="",M175=""),"",IF(N175=0,"",M175/N175))</f>
        <v/>
      </c>
      <c r="U175" s="29" t="str">
        <f aca="false">IF(OR(T175="",I175="",R175="Closed"),"",IF(R175="Late","ETA passed: "&amp;ROUND(T175,0)&amp;" days of stock left",IF(Settings!$B$4+T175&lt;I175,"YES: "&amp;ROUND(I175-(Settings!$B$4+T175),0)&amp;" days short","No")))</f>
        <v/>
      </c>
      <c r="V175" s="31" t="str">
        <f aca="false">IF(R175="","",IF(OR(R175="Late",R175="Ship overdue",R175="Stale"),Settings!$B$4,IF(R175="At risk",Settings!$B$4+2,"")))</f>
        <v/>
      </c>
    </row>
    <row r="176" customFormat="false" ht="15" hidden="false" customHeight="false" outlineLevel="0" collapsed="false">
      <c r="A176" s="32"/>
      <c r="B176" s="32"/>
      <c r="C176" s="32"/>
      <c r="D176" s="32"/>
      <c r="E176" s="33"/>
      <c r="F176" s="33"/>
      <c r="G176" s="34"/>
      <c r="H176" s="34"/>
      <c r="I176" s="34"/>
      <c r="J176" s="34"/>
      <c r="K176" s="32"/>
      <c r="L176" s="35"/>
      <c r="M176" s="33"/>
      <c r="N176" s="33"/>
      <c r="O176" s="27" t="str">
        <f aca="false">IF(A176="","",MAX(E176-F176,0))</f>
        <v/>
      </c>
      <c r="P176" s="28" t="str">
        <f aca="false">IF(OR(A176="",I176=""),"",MAX(Settings!$B$4-I176,0))</f>
        <v/>
      </c>
      <c r="Q176" s="28" t="str">
        <f aca="false">IF(OR(A176="",J176=""),"",Settings!$B$4-J176)</f>
        <v/>
      </c>
      <c r="R176" s="29" t="str">
        <f aca="false">IF(A176="","",IF(OR(K176="Received",AND(E176&lt;&gt;"",O176=0)),"Closed",IF(AND(I176&lt;&gt;"",Settings!$B$4&gt;I176),"Late",IF(AND(H176&lt;&gt;"",Settings!$B$4&gt;H176,K176&lt;&gt;"Shipped"),"Ship overdue",IF(OR(K176="Delayed",AND(I176&lt;&gt;"",I176-Settings!$B$4&lt;=Settings!$B$5,K176&lt;&gt;"Shipped")),"At risk",IF(AND(Q176&lt;&gt;"",Q176&gt;Settings!$B$6),"Stale","On track"))))))</f>
        <v/>
      </c>
      <c r="S176" s="29" t="str">
        <f aca="false">IF(R176="","",IF(R176="Late","Ask for a new ETA and tracking number",IF(R176="Ship overdue","Ask why it hasn't shipped; get a firm ship date",IF(R176="At risk","Confirm the ship date this week",IF(R176="Stale","Request a status update",IF(R176="Closed","-","No action needed"))))))</f>
        <v/>
      </c>
      <c r="T176" s="30" t="str">
        <f aca="false">IF(OR(A176="",N176="",M176=""),"",IF(N176=0,"",M176/N176))</f>
        <v/>
      </c>
      <c r="U176" s="29" t="str">
        <f aca="false">IF(OR(T176="",I176="",R176="Closed"),"",IF(R176="Late","ETA passed: "&amp;ROUND(T176,0)&amp;" days of stock left",IF(Settings!$B$4+T176&lt;I176,"YES: "&amp;ROUND(I176-(Settings!$B$4+T176),0)&amp;" days short","No")))</f>
        <v/>
      </c>
      <c r="V176" s="31" t="str">
        <f aca="false">IF(R176="","",IF(OR(R176="Late",R176="Ship overdue",R176="Stale"),Settings!$B$4,IF(R176="At risk",Settings!$B$4+2,"")))</f>
        <v/>
      </c>
    </row>
    <row r="177" customFormat="false" ht="15" hidden="false" customHeight="false" outlineLevel="0" collapsed="false">
      <c r="A177" s="32"/>
      <c r="B177" s="32"/>
      <c r="C177" s="32"/>
      <c r="D177" s="32"/>
      <c r="E177" s="33"/>
      <c r="F177" s="33"/>
      <c r="G177" s="34"/>
      <c r="H177" s="34"/>
      <c r="I177" s="34"/>
      <c r="J177" s="34"/>
      <c r="K177" s="32"/>
      <c r="L177" s="35"/>
      <c r="M177" s="33"/>
      <c r="N177" s="33"/>
      <c r="O177" s="27" t="str">
        <f aca="false">IF(A177="","",MAX(E177-F177,0))</f>
        <v/>
      </c>
      <c r="P177" s="28" t="str">
        <f aca="false">IF(OR(A177="",I177=""),"",MAX(Settings!$B$4-I177,0))</f>
        <v/>
      </c>
      <c r="Q177" s="28" t="str">
        <f aca="false">IF(OR(A177="",J177=""),"",Settings!$B$4-J177)</f>
        <v/>
      </c>
      <c r="R177" s="29" t="str">
        <f aca="false">IF(A177="","",IF(OR(K177="Received",AND(E177&lt;&gt;"",O177=0)),"Closed",IF(AND(I177&lt;&gt;"",Settings!$B$4&gt;I177),"Late",IF(AND(H177&lt;&gt;"",Settings!$B$4&gt;H177,K177&lt;&gt;"Shipped"),"Ship overdue",IF(OR(K177="Delayed",AND(I177&lt;&gt;"",I177-Settings!$B$4&lt;=Settings!$B$5,K177&lt;&gt;"Shipped")),"At risk",IF(AND(Q177&lt;&gt;"",Q177&gt;Settings!$B$6),"Stale","On track"))))))</f>
        <v/>
      </c>
      <c r="S177" s="29" t="str">
        <f aca="false">IF(R177="","",IF(R177="Late","Ask for a new ETA and tracking number",IF(R177="Ship overdue","Ask why it hasn't shipped; get a firm ship date",IF(R177="At risk","Confirm the ship date this week",IF(R177="Stale","Request a status update",IF(R177="Closed","-","No action needed"))))))</f>
        <v/>
      </c>
      <c r="T177" s="30" t="str">
        <f aca="false">IF(OR(A177="",N177="",M177=""),"",IF(N177=0,"",M177/N177))</f>
        <v/>
      </c>
      <c r="U177" s="29" t="str">
        <f aca="false">IF(OR(T177="",I177="",R177="Closed"),"",IF(R177="Late","ETA passed: "&amp;ROUND(T177,0)&amp;" days of stock left",IF(Settings!$B$4+T177&lt;I177,"YES: "&amp;ROUND(I177-(Settings!$B$4+T177),0)&amp;" days short","No")))</f>
        <v/>
      </c>
      <c r="V177" s="31" t="str">
        <f aca="false">IF(R177="","",IF(OR(R177="Late",R177="Ship overdue",R177="Stale"),Settings!$B$4,IF(R177="At risk",Settings!$B$4+2,"")))</f>
        <v/>
      </c>
    </row>
    <row r="178" customFormat="false" ht="15" hidden="false" customHeight="false" outlineLevel="0" collapsed="false">
      <c r="A178" s="32"/>
      <c r="B178" s="32"/>
      <c r="C178" s="32"/>
      <c r="D178" s="32"/>
      <c r="E178" s="33"/>
      <c r="F178" s="33"/>
      <c r="G178" s="34"/>
      <c r="H178" s="34"/>
      <c r="I178" s="34"/>
      <c r="J178" s="34"/>
      <c r="K178" s="32"/>
      <c r="L178" s="35"/>
      <c r="M178" s="33"/>
      <c r="N178" s="33"/>
      <c r="O178" s="27" t="str">
        <f aca="false">IF(A178="","",MAX(E178-F178,0))</f>
        <v/>
      </c>
      <c r="P178" s="28" t="str">
        <f aca="false">IF(OR(A178="",I178=""),"",MAX(Settings!$B$4-I178,0))</f>
        <v/>
      </c>
      <c r="Q178" s="28" t="str">
        <f aca="false">IF(OR(A178="",J178=""),"",Settings!$B$4-J178)</f>
        <v/>
      </c>
      <c r="R178" s="29" t="str">
        <f aca="false">IF(A178="","",IF(OR(K178="Received",AND(E178&lt;&gt;"",O178=0)),"Closed",IF(AND(I178&lt;&gt;"",Settings!$B$4&gt;I178),"Late",IF(AND(H178&lt;&gt;"",Settings!$B$4&gt;H178,K178&lt;&gt;"Shipped"),"Ship overdue",IF(OR(K178="Delayed",AND(I178&lt;&gt;"",I178-Settings!$B$4&lt;=Settings!$B$5,K178&lt;&gt;"Shipped")),"At risk",IF(AND(Q178&lt;&gt;"",Q178&gt;Settings!$B$6),"Stale","On track"))))))</f>
        <v/>
      </c>
      <c r="S178" s="29" t="str">
        <f aca="false">IF(R178="","",IF(R178="Late","Ask for a new ETA and tracking number",IF(R178="Ship overdue","Ask why it hasn't shipped; get a firm ship date",IF(R178="At risk","Confirm the ship date this week",IF(R178="Stale","Request a status update",IF(R178="Closed","-","No action needed"))))))</f>
        <v/>
      </c>
      <c r="T178" s="30" t="str">
        <f aca="false">IF(OR(A178="",N178="",M178=""),"",IF(N178=0,"",M178/N178))</f>
        <v/>
      </c>
      <c r="U178" s="29" t="str">
        <f aca="false">IF(OR(T178="",I178="",R178="Closed"),"",IF(R178="Late","ETA passed: "&amp;ROUND(T178,0)&amp;" days of stock left",IF(Settings!$B$4+T178&lt;I178,"YES: "&amp;ROUND(I178-(Settings!$B$4+T178),0)&amp;" days short","No")))</f>
        <v/>
      </c>
      <c r="V178" s="31" t="str">
        <f aca="false">IF(R178="","",IF(OR(R178="Late",R178="Ship overdue",R178="Stale"),Settings!$B$4,IF(R178="At risk",Settings!$B$4+2,"")))</f>
        <v/>
      </c>
    </row>
    <row r="179" customFormat="false" ht="15" hidden="false" customHeight="false" outlineLevel="0" collapsed="false">
      <c r="A179" s="32"/>
      <c r="B179" s="32"/>
      <c r="C179" s="32"/>
      <c r="D179" s="32"/>
      <c r="E179" s="33"/>
      <c r="F179" s="33"/>
      <c r="G179" s="34"/>
      <c r="H179" s="34"/>
      <c r="I179" s="34"/>
      <c r="J179" s="34"/>
      <c r="K179" s="32"/>
      <c r="L179" s="35"/>
      <c r="M179" s="33"/>
      <c r="N179" s="33"/>
      <c r="O179" s="27" t="str">
        <f aca="false">IF(A179="","",MAX(E179-F179,0))</f>
        <v/>
      </c>
      <c r="P179" s="28" t="str">
        <f aca="false">IF(OR(A179="",I179=""),"",MAX(Settings!$B$4-I179,0))</f>
        <v/>
      </c>
      <c r="Q179" s="28" t="str">
        <f aca="false">IF(OR(A179="",J179=""),"",Settings!$B$4-J179)</f>
        <v/>
      </c>
      <c r="R179" s="29" t="str">
        <f aca="false">IF(A179="","",IF(OR(K179="Received",AND(E179&lt;&gt;"",O179=0)),"Closed",IF(AND(I179&lt;&gt;"",Settings!$B$4&gt;I179),"Late",IF(AND(H179&lt;&gt;"",Settings!$B$4&gt;H179,K179&lt;&gt;"Shipped"),"Ship overdue",IF(OR(K179="Delayed",AND(I179&lt;&gt;"",I179-Settings!$B$4&lt;=Settings!$B$5,K179&lt;&gt;"Shipped")),"At risk",IF(AND(Q179&lt;&gt;"",Q179&gt;Settings!$B$6),"Stale","On track"))))))</f>
        <v/>
      </c>
      <c r="S179" s="29" t="str">
        <f aca="false">IF(R179="","",IF(R179="Late","Ask for a new ETA and tracking number",IF(R179="Ship overdue","Ask why it hasn't shipped; get a firm ship date",IF(R179="At risk","Confirm the ship date this week",IF(R179="Stale","Request a status update",IF(R179="Closed","-","No action needed"))))))</f>
        <v/>
      </c>
      <c r="T179" s="30" t="str">
        <f aca="false">IF(OR(A179="",N179="",M179=""),"",IF(N179=0,"",M179/N179))</f>
        <v/>
      </c>
      <c r="U179" s="29" t="str">
        <f aca="false">IF(OR(T179="",I179="",R179="Closed"),"",IF(R179="Late","ETA passed: "&amp;ROUND(T179,0)&amp;" days of stock left",IF(Settings!$B$4+T179&lt;I179,"YES: "&amp;ROUND(I179-(Settings!$B$4+T179),0)&amp;" days short","No")))</f>
        <v/>
      </c>
      <c r="V179" s="31" t="str">
        <f aca="false">IF(R179="","",IF(OR(R179="Late",R179="Ship overdue",R179="Stale"),Settings!$B$4,IF(R179="At risk",Settings!$B$4+2,"")))</f>
        <v/>
      </c>
    </row>
    <row r="180" customFormat="false" ht="15" hidden="false" customHeight="false" outlineLevel="0" collapsed="false">
      <c r="A180" s="32"/>
      <c r="B180" s="32"/>
      <c r="C180" s="32"/>
      <c r="D180" s="32"/>
      <c r="E180" s="33"/>
      <c r="F180" s="33"/>
      <c r="G180" s="34"/>
      <c r="H180" s="34"/>
      <c r="I180" s="34"/>
      <c r="J180" s="34"/>
      <c r="K180" s="32"/>
      <c r="L180" s="35"/>
      <c r="M180" s="33"/>
      <c r="N180" s="33"/>
      <c r="O180" s="27" t="str">
        <f aca="false">IF(A180="","",MAX(E180-F180,0))</f>
        <v/>
      </c>
      <c r="P180" s="28" t="str">
        <f aca="false">IF(OR(A180="",I180=""),"",MAX(Settings!$B$4-I180,0))</f>
        <v/>
      </c>
      <c r="Q180" s="28" t="str">
        <f aca="false">IF(OR(A180="",J180=""),"",Settings!$B$4-J180)</f>
        <v/>
      </c>
      <c r="R180" s="29" t="str">
        <f aca="false">IF(A180="","",IF(OR(K180="Received",AND(E180&lt;&gt;"",O180=0)),"Closed",IF(AND(I180&lt;&gt;"",Settings!$B$4&gt;I180),"Late",IF(AND(H180&lt;&gt;"",Settings!$B$4&gt;H180,K180&lt;&gt;"Shipped"),"Ship overdue",IF(OR(K180="Delayed",AND(I180&lt;&gt;"",I180-Settings!$B$4&lt;=Settings!$B$5,K180&lt;&gt;"Shipped")),"At risk",IF(AND(Q180&lt;&gt;"",Q180&gt;Settings!$B$6),"Stale","On track"))))))</f>
        <v/>
      </c>
      <c r="S180" s="29" t="str">
        <f aca="false">IF(R180="","",IF(R180="Late","Ask for a new ETA and tracking number",IF(R180="Ship overdue","Ask why it hasn't shipped; get a firm ship date",IF(R180="At risk","Confirm the ship date this week",IF(R180="Stale","Request a status update",IF(R180="Closed","-","No action needed"))))))</f>
        <v/>
      </c>
      <c r="T180" s="30" t="str">
        <f aca="false">IF(OR(A180="",N180="",M180=""),"",IF(N180=0,"",M180/N180))</f>
        <v/>
      </c>
      <c r="U180" s="29" t="str">
        <f aca="false">IF(OR(T180="",I180="",R180="Closed"),"",IF(R180="Late","ETA passed: "&amp;ROUND(T180,0)&amp;" days of stock left",IF(Settings!$B$4+T180&lt;I180,"YES: "&amp;ROUND(I180-(Settings!$B$4+T180),0)&amp;" days short","No")))</f>
        <v/>
      </c>
      <c r="V180" s="31" t="str">
        <f aca="false">IF(R180="","",IF(OR(R180="Late",R180="Ship overdue",R180="Stale"),Settings!$B$4,IF(R180="At risk",Settings!$B$4+2,"")))</f>
        <v/>
      </c>
    </row>
    <row r="181" customFormat="false" ht="15" hidden="false" customHeight="false" outlineLevel="0" collapsed="false">
      <c r="A181" s="32"/>
      <c r="B181" s="32"/>
      <c r="C181" s="32"/>
      <c r="D181" s="32"/>
      <c r="E181" s="33"/>
      <c r="F181" s="33"/>
      <c r="G181" s="34"/>
      <c r="H181" s="34"/>
      <c r="I181" s="34"/>
      <c r="J181" s="34"/>
      <c r="K181" s="32"/>
      <c r="L181" s="35"/>
      <c r="M181" s="33"/>
      <c r="N181" s="33"/>
      <c r="O181" s="27" t="str">
        <f aca="false">IF(A181="","",MAX(E181-F181,0))</f>
        <v/>
      </c>
      <c r="P181" s="28" t="str">
        <f aca="false">IF(OR(A181="",I181=""),"",MAX(Settings!$B$4-I181,0))</f>
        <v/>
      </c>
      <c r="Q181" s="28" t="str">
        <f aca="false">IF(OR(A181="",J181=""),"",Settings!$B$4-J181)</f>
        <v/>
      </c>
      <c r="R181" s="29" t="str">
        <f aca="false">IF(A181="","",IF(OR(K181="Received",AND(E181&lt;&gt;"",O181=0)),"Closed",IF(AND(I181&lt;&gt;"",Settings!$B$4&gt;I181),"Late",IF(AND(H181&lt;&gt;"",Settings!$B$4&gt;H181,K181&lt;&gt;"Shipped"),"Ship overdue",IF(OR(K181="Delayed",AND(I181&lt;&gt;"",I181-Settings!$B$4&lt;=Settings!$B$5,K181&lt;&gt;"Shipped")),"At risk",IF(AND(Q181&lt;&gt;"",Q181&gt;Settings!$B$6),"Stale","On track"))))))</f>
        <v/>
      </c>
      <c r="S181" s="29" t="str">
        <f aca="false">IF(R181="","",IF(R181="Late","Ask for a new ETA and tracking number",IF(R181="Ship overdue","Ask why it hasn't shipped; get a firm ship date",IF(R181="At risk","Confirm the ship date this week",IF(R181="Stale","Request a status update",IF(R181="Closed","-","No action needed"))))))</f>
        <v/>
      </c>
      <c r="T181" s="30" t="str">
        <f aca="false">IF(OR(A181="",N181="",M181=""),"",IF(N181=0,"",M181/N181))</f>
        <v/>
      </c>
      <c r="U181" s="29" t="str">
        <f aca="false">IF(OR(T181="",I181="",R181="Closed"),"",IF(R181="Late","ETA passed: "&amp;ROUND(T181,0)&amp;" days of stock left",IF(Settings!$B$4+T181&lt;I181,"YES: "&amp;ROUND(I181-(Settings!$B$4+T181),0)&amp;" days short","No")))</f>
        <v/>
      </c>
      <c r="V181" s="31" t="str">
        <f aca="false">IF(R181="","",IF(OR(R181="Late",R181="Ship overdue",R181="Stale"),Settings!$B$4,IF(R181="At risk",Settings!$B$4+2,"")))</f>
        <v/>
      </c>
    </row>
    <row r="182" customFormat="false" ht="15" hidden="false" customHeight="false" outlineLevel="0" collapsed="false">
      <c r="A182" s="32"/>
      <c r="B182" s="32"/>
      <c r="C182" s="32"/>
      <c r="D182" s="32"/>
      <c r="E182" s="33"/>
      <c r="F182" s="33"/>
      <c r="G182" s="34"/>
      <c r="H182" s="34"/>
      <c r="I182" s="34"/>
      <c r="J182" s="34"/>
      <c r="K182" s="32"/>
      <c r="L182" s="35"/>
      <c r="M182" s="33"/>
      <c r="N182" s="33"/>
      <c r="O182" s="27" t="str">
        <f aca="false">IF(A182="","",MAX(E182-F182,0))</f>
        <v/>
      </c>
      <c r="P182" s="28" t="str">
        <f aca="false">IF(OR(A182="",I182=""),"",MAX(Settings!$B$4-I182,0))</f>
        <v/>
      </c>
      <c r="Q182" s="28" t="str">
        <f aca="false">IF(OR(A182="",J182=""),"",Settings!$B$4-J182)</f>
        <v/>
      </c>
      <c r="R182" s="29" t="str">
        <f aca="false">IF(A182="","",IF(OR(K182="Received",AND(E182&lt;&gt;"",O182=0)),"Closed",IF(AND(I182&lt;&gt;"",Settings!$B$4&gt;I182),"Late",IF(AND(H182&lt;&gt;"",Settings!$B$4&gt;H182,K182&lt;&gt;"Shipped"),"Ship overdue",IF(OR(K182="Delayed",AND(I182&lt;&gt;"",I182-Settings!$B$4&lt;=Settings!$B$5,K182&lt;&gt;"Shipped")),"At risk",IF(AND(Q182&lt;&gt;"",Q182&gt;Settings!$B$6),"Stale","On track"))))))</f>
        <v/>
      </c>
      <c r="S182" s="29" t="str">
        <f aca="false">IF(R182="","",IF(R182="Late","Ask for a new ETA and tracking number",IF(R182="Ship overdue","Ask why it hasn't shipped; get a firm ship date",IF(R182="At risk","Confirm the ship date this week",IF(R182="Stale","Request a status update",IF(R182="Closed","-","No action needed"))))))</f>
        <v/>
      </c>
      <c r="T182" s="30" t="str">
        <f aca="false">IF(OR(A182="",N182="",M182=""),"",IF(N182=0,"",M182/N182))</f>
        <v/>
      </c>
      <c r="U182" s="29" t="str">
        <f aca="false">IF(OR(T182="",I182="",R182="Closed"),"",IF(R182="Late","ETA passed: "&amp;ROUND(T182,0)&amp;" days of stock left",IF(Settings!$B$4+T182&lt;I182,"YES: "&amp;ROUND(I182-(Settings!$B$4+T182),0)&amp;" days short","No")))</f>
        <v/>
      </c>
      <c r="V182" s="31" t="str">
        <f aca="false">IF(R182="","",IF(OR(R182="Late",R182="Ship overdue",R182="Stale"),Settings!$B$4,IF(R182="At risk",Settings!$B$4+2,"")))</f>
        <v/>
      </c>
    </row>
    <row r="183" customFormat="false" ht="15" hidden="false" customHeight="false" outlineLevel="0" collapsed="false">
      <c r="A183" s="32"/>
      <c r="B183" s="32"/>
      <c r="C183" s="32"/>
      <c r="D183" s="32"/>
      <c r="E183" s="33"/>
      <c r="F183" s="33"/>
      <c r="G183" s="34"/>
      <c r="H183" s="34"/>
      <c r="I183" s="34"/>
      <c r="J183" s="34"/>
      <c r="K183" s="32"/>
      <c r="L183" s="35"/>
      <c r="M183" s="33"/>
      <c r="N183" s="33"/>
      <c r="O183" s="27" t="str">
        <f aca="false">IF(A183="","",MAX(E183-F183,0))</f>
        <v/>
      </c>
      <c r="P183" s="28" t="str">
        <f aca="false">IF(OR(A183="",I183=""),"",MAX(Settings!$B$4-I183,0))</f>
        <v/>
      </c>
      <c r="Q183" s="28" t="str">
        <f aca="false">IF(OR(A183="",J183=""),"",Settings!$B$4-J183)</f>
        <v/>
      </c>
      <c r="R183" s="29" t="str">
        <f aca="false">IF(A183="","",IF(OR(K183="Received",AND(E183&lt;&gt;"",O183=0)),"Closed",IF(AND(I183&lt;&gt;"",Settings!$B$4&gt;I183),"Late",IF(AND(H183&lt;&gt;"",Settings!$B$4&gt;H183,K183&lt;&gt;"Shipped"),"Ship overdue",IF(OR(K183="Delayed",AND(I183&lt;&gt;"",I183-Settings!$B$4&lt;=Settings!$B$5,K183&lt;&gt;"Shipped")),"At risk",IF(AND(Q183&lt;&gt;"",Q183&gt;Settings!$B$6),"Stale","On track"))))))</f>
        <v/>
      </c>
      <c r="S183" s="29" t="str">
        <f aca="false">IF(R183="","",IF(R183="Late","Ask for a new ETA and tracking number",IF(R183="Ship overdue","Ask why it hasn't shipped; get a firm ship date",IF(R183="At risk","Confirm the ship date this week",IF(R183="Stale","Request a status update",IF(R183="Closed","-","No action needed"))))))</f>
        <v/>
      </c>
      <c r="T183" s="30" t="str">
        <f aca="false">IF(OR(A183="",N183="",M183=""),"",IF(N183=0,"",M183/N183))</f>
        <v/>
      </c>
      <c r="U183" s="29" t="str">
        <f aca="false">IF(OR(T183="",I183="",R183="Closed"),"",IF(R183="Late","ETA passed: "&amp;ROUND(T183,0)&amp;" days of stock left",IF(Settings!$B$4+T183&lt;I183,"YES: "&amp;ROUND(I183-(Settings!$B$4+T183),0)&amp;" days short","No")))</f>
        <v/>
      </c>
      <c r="V183" s="31" t="str">
        <f aca="false">IF(R183="","",IF(OR(R183="Late",R183="Ship overdue",R183="Stale"),Settings!$B$4,IF(R183="At risk",Settings!$B$4+2,"")))</f>
        <v/>
      </c>
    </row>
    <row r="184" customFormat="false" ht="15" hidden="false" customHeight="false" outlineLevel="0" collapsed="false">
      <c r="A184" s="32"/>
      <c r="B184" s="32"/>
      <c r="C184" s="32"/>
      <c r="D184" s="32"/>
      <c r="E184" s="33"/>
      <c r="F184" s="33"/>
      <c r="G184" s="34"/>
      <c r="H184" s="34"/>
      <c r="I184" s="34"/>
      <c r="J184" s="34"/>
      <c r="K184" s="32"/>
      <c r="L184" s="35"/>
      <c r="M184" s="33"/>
      <c r="N184" s="33"/>
      <c r="O184" s="27" t="str">
        <f aca="false">IF(A184="","",MAX(E184-F184,0))</f>
        <v/>
      </c>
      <c r="P184" s="28" t="str">
        <f aca="false">IF(OR(A184="",I184=""),"",MAX(Settings!$B$4-I184,0))</f>
        <v/>
      </c>
      <c r="Q184" s="28" t="str">
        <f aca="false">IF(OR(A184="",J184=""),"",Settings!$B$4-J184)</f>
        <v/>
      </c>
      <c r="R184" s="29" t="str">
        <f aca="false">IF(A184="","",IF(OR(K184="Received",AND(E184&lt;&gt;"",O184=0)),"Closed",IF(AND(I184&lt;&gt;"",Settings!$B$4&gt;I184),"Late",IF(AND(H184&lt;&gt;"",Settings!$B$4&gt;H184,K184&lt;&gt;"Shipped"),"Ship overdue",IF(OR(K184="Delayed",AND(I184&lt;&gt;"",I184-Settings!$B$4&lt;=Settings!$B$5,K184&lt;&gt;"Shipped")),"At risk",IF(AND(Q184&lt;&gt;"",Q184&gt;Settings!$B$6),"Stale","On track"))))))</f>
        <v/>
      </c>
      <c r="S184" s="29" t="str">
        <f aca="false">IF(R184="","",IF(R184="Late","Ask for a new ETA and tracking number",IF(R184="Ship overdue","Ask why it hasn't shipped; get a firm ship date",IF(R184="At risk","Confirm the ship date this week",IF(R184="Stale","Request a status update",IF(R184="Closed","-","No action needed"))))))</f>
        <v/>
      </c>
      <c r="T184" s="30" t="str">
        <f aca="false">IF(OR(A184="",N184="",M184=""),"",IF(N184=0,"",M184/N184))</f>
        <v/>
      </c>
      <c r="U184" s="29" t="str">
        <f aca="false">IF(OR(T184="",I184="",R184="Closed"),"",IF(R184="Late","ETA passed: "&amp;ROUND(T184,0)&amp;" days of stock left",IF(Settings!$B$4+T184&lt;I184,"YES: "&amp;ROUND(I184-(Settings!$B$4+T184),0)&amp;" days short","No")))</f>
        <v/>
      </c>
      <c r="V184" s="31" t="str">
        <f aca="false">IF(R184="","",IF(OR(R184="Late",R184="Ship overdue",R184="Stale"),Settings!$B$4,IF(R184="At risk",Settings!$B$4+2,"")))</f>
        <v/>
      </c>
    </row>
    <row r="185" customFormat="false" ht="15" hidden="false" customHeight="false" outlineLevel="0" collapsed="false">
      <c r="A185" s="32"/>
      <c r="B185" s="32"/>
      <c r="C185" s="32"/>
      <c r="D185" s="32"/>
      <c r="E185" s="33"/>
      <c r="F185" s="33"/>
      <c r="G185" s="34"/>
      <c r="H185" s="34"/>
      <c r="I185" s="34"/>
      <c r="J185" s="34"/>
      <c r="K185" s="32"/>
      <c r="L185" s="35"/>
      <c r="M185" s="33"/>
      <c r="N185" s="33"/>
      <c r="O185" s="27" t="str">
        <f aca="false">IF(A185="","",MAX(E185-F185,0))</f>
        <v/>
      </c>
      <c r="P185" s="28" t="str">
        <f aca="false">IF(OR(A185="",I185=""),"",MAX(Settings!$B$4-I185,0))</f>
        <v/>
      </c>
      <c r="Q185" s="28" t="str">
        <f aca="false">IF(OR(A185="",J185=""),"",Settings!$B$4-J185)</f>
        <v/>
      </c>
      <c r="R185" s="29" t="str">
        <f aca="false">IF(A185="","",IF(OR(K185="Received",AND(E185&lt;&gt;"",O185=0)),"Closed",IF(AND(I185&lt;&gt;"",Settings!$B$4&gt;I185),"Late",IF(AND(H185&lt;&gt;"",Settings!$B$4&gt;H185,K185&lt;&gt;"Shipped"),"Ship overdue",IF(OR(K185="Delayed",AND(I185&lt;&gt;"",I185-Settings!$B$4&lt;=Settings!$B$5,K185&lt;&gt;"Shipped")),"At risk",IF(AND(Q185&lt;&gt;"",Q185&gt;Settings!$B$6),"Stale","On track"))))))</f>
        <v/>
      </c>
      <c r="S185" s="29" t="str">
        <f aca="false">IF(R185="","",IF(R185="Late","Ask for a new ETA and tracking number",IF(R185="Ship overdue","Ask why it hasn't shipped; get a firm ship date",IF(R185="At risk","Confirm the ship date this week",IF(R185="Stale","Request a status update",IF(R185="Closed","-","No action needed"))))))</f>
        <v/>
      </c>
      <c r="T185" s="30" t="str">
        <f aca="false">IF(OR(A185="",N185="",M185=""),"",IF(N185=0,"",M185/N185))</f>
        <v/>
      </c>
      <c r="U185" s="29" t="str">
        <f aca="false">IF(OR(T185="",I185="",R185="Closed"),"",IF(R185="Late","ETA passed: "&amp;ROUND(T185,0)&amp;" days of stock left",IF(Settings!$B$4+T185&lt;I185,"YES: "&amp;ROUND(I185-(Settings!$B$4+T185),0)&amp;" days short","No")))</f>
        <v/>
      </c>
      <c r="V185" s="31" t="str">
        <f aca="false">IF(R185="","",IF(OR(R185="Late",R185="Ship overdue",R185="Stale"),Settings!$B$4,IF(R185="At risk",Settings!$B$4+2,"")))</f>
        <v/>
      </c>
    </row>
    <row r="186" customFormat="false" ht="15" hidden="false" customHeight="false" outlineLevel="0" collapsed="false">
      <c r="A186" s="32"/>
      <c r="B186" s="32"/>
      <c r="C186" s="32"/>
      <c r="D186" s="32"/>
      <c r="E186" s="33"/>
      <c r="F186" s="33"/>
      <c r="G186" s="34"/>
      <c r="H186" s="34"/>
      <c r="I186" s="34"/>
      <c r="J186" s="34"/>
      <c r="K186" s="32"/>
      <c r="L186" s="35"/>
      <c r="M186" s="33"/>
      <c r="N186" s="33"/>
      <c r="O186" s="27" t="str">
        <f aca="false">IF(A186="","",MAX(E186-F186,0))</f>
        <v/>
      </c>
      <c r="P186" s="28" t="str">
        <f aca="false">IF(OR(A186="",I186=""),"",MAX(Settings!$B$4-I186,0))</f>
        <v/>
      </c>
      <c r="Q186" s="28" t="str">
        <f aca="false">IF(OR(A186="",J186=""),"",Settings!$B$4-J186)</f>
        <v/>
      </c>
      <c r="R186" s="29" t="str">
        <f aca="false">IF(A186="","",IF(OR(K186="Received",AND(E186&lt;&gt;"",O186=0)),"Closed",IF(AND(I186&lt;&gt;"",Settings!$B$4&gt;I186),"Late",IF(AND(H186&lt;&gt;"",Settings!$B$4&gt;H186,K186&lt;&gt;"Shipped"),"Ship overdue",IF(OR(K186="Delayed",AND(I186&lt;&gt;"",I186-Settings!$B$4&lt;=Settings!$B$5,K186&lt;&gt;"Shipped")),"At risk",IF(AND(Q186&lt;&gt;"",Q186&gt;Settings!$B$6),"Stale","On track"))))))</f>
        <v/>
      </c>
      <c r="S186" s="29" t="str">
        <f aca="false">IF(R186="","",IF(R186="Late","Ask for a new ETA and tracking number",IF(R186="Ship overdue","Ask why it hasn't shipped; get a firm ship date",IF(R186="At risk","Confirm the ship date this week",IF(R186="Stale","Request a status update",IF(R186="Closed","-","No action needed"))))))</f>
        <v/>
      </c>
      <c r="T186" s="30" t="str">
        <f aca="false">IF(OR(A186="",N186="",M186=""),"",IF(N186=0,"",M186/N186))</f>
        <v/>
      </c>
      <c r="U186" s="29" t="str">
        <f aca="false">IF(OR(T186="",I186="",R186="Closed"),"",IF(R186="Late","ETA passed: "&amp;ROUND(T186,0)&amp;" days of stock left",IF(Settings!$B$4+T186&lt;I186,"YES: "&amp;ROUND(I186-(Settings!$B$4+T186),0)&amp;" days short","No")))</f>
        <v/>
      </c>
      <c r="V186" s="31" t="str">
        <f aca="false">IF(R186="","",IF(OR(R186="Late",R186="Ship overdue",R186="Stale"),Settings!$B$4,IF(R186="At risk",Settings!$B$4+2,"")))</f>
        <v/>
      </c>
    </row>
    <row r="187" customFormat="false" ht="15" hidden="false" customHeight="false" outlineLevel="0" collapsed="false">
      <c r="A187" s="32"/>
      <c r="B187" s="32"/>
      <c r="C187" s="32"/>
      <c r="D187" s="32"/>
      <c r="E187" s="33"/>
      <c r="F187" s="33"/>
      <c r="G187" s="34"/>
      <c r="H187" s="34"/>
      <c r="I187" s="34"/>
      <c r="J187" s="34"/>
      <c r="K187" s="32"/>
      <c r="L187" s="35"/>
      <c r="M187" s="33"/>
      <c r="N187" s="33"/>
      <c r="O187" s="27" t="str">
        <f aca="false">IF(A187="","",MAX(E187-F187,0))</f>
        <v/>
      </c>
      <c r="P187" s="28" t="str">
        <f aca="false">IF(OR(A187="",I187=""),"",MAX(Settings!$B$4-I187,0))</f>
        <v/>
      </c>
      <c r="Q187" s="28" t="str">
        <f aca="false">IF(OR(A187="",J187=""),"",Settings!$B$4-J187)</f>
        <v/>
      </c>
      <c r="R187" s="29" t="str">
        <f aca="false">IF(A187="","",IF(OR(K187="Received",AND(E187&lt;&gt;"",O187=0)),"Closed",IF(AND(I187&lt;&gt;"",Settings!$B$4&gt;I187),"Late",IF(AND(H187&lt;&gt;"",Settings!$B$4&gt;H187,K187&lt;&gt;"Shipped"),"Ship overdue",IF(OR(K187="Delayed",AND(I187&lt;&gt;"",I187-Settings!$B$4&lt;=Settings!$B$5,K187&lt;&gt;"Shipped")),"At risk",IF(AND(Q187&lt;&gt;"",Q187&gt;Settings!$B$6),"Stale","On track"))))))</f>
        <v/>
      </c>
      <c r="S187" s="29" t="str">
        <f aca="false">IF(R187="","",IF(R187="Late","Ask for a new ETA and tracking number",IF(R187="Ship overdue","Ask why it hasn't shipped; get a firm ship date",IF(R187="At risk","Confirm the ship date this week",IF(R187="Stale","Request a status update",IF(R187="Closed","-","No action needed"))))))</f>
        <v/>
      </c>
      <c r="T187" s="30" t="str">
        <f aca="false">IF(OR(A187="",N187="",M187=""),"",IF(N187=0,"",M187/N187))</f>
        <v/>
      </c>
      <c r="U187" s="29" t="str">
        <f aca="false">IF(OR(T187="",I187="",R187="Closed"),"",IF(R187="Late","ETA passed: "&amp;ROUND(T187,0)&amp;" days of stock left",IF(Settings!$B$4+T187&lt;I187,"YES: "&amp;ROUND(I187-(Settings!$B$4+T187),0)&amp;" days short","No")))</f>
        <v/>
      </c>
      <c r="V187" s="31" t="str">
        <f aca="false">IF(R187="","",IF(OR(R187="Late",R187="Ship overdue",R187="Stale"),Settings!$B$4,IF(R187="At risk",Settings!$B$4+2,"")))</f>
        <v/>
      </c>
    </row>
    <row r="188" customFormat="false" ht="15" hidden="false" customHeight="false" outlineLevel="0" collapsed="false">
      <c r="A188" s="32"/>
      <c r="B188" s="32"/>
      <c r="C188" s="32"/>
      <c r="D188" s="32"/>
      <c r="E188" s="33"/>
      <c r="F188" s="33"/>
      <c r="G188" s="34"/>
      <c r="H188" s="34"/>
      <c r="I188" s="34"/>
      <c r="J188" s="34"/>
      <c r="K188" s="32"/>
      <c r="L188" s="35"/>
      <c r="M188" s="33"/>
      <c r="N188" s="33"/>
      <c r="O188" s="27" t="str">
        <f aca="false">IF(A188="","",MAX(E188-F188,0))</f>
        <v/>
      </c>
      <c r="P188" s="28" t="str">
        <f aca="false">IF(OR(A188="",I188=""),"",MAX(Settings!$B$4-I188,0))</f>
        <v/>
      </c>
      <c r="Q188" s="28" t="str">
        <f aca="false">IF(OR(A188="",J188=""),"",Settings!$B$4-J188)</f>
        <v/>
      </c>
      <c r="R188" s="29" t="str">
        <f aca="false">IF(A188="","",IF(OR(K188="Received",AND(E188&lt;&gt;"",O188=0)),"Closed",IF(AND(I188&lt;&gt;"",Settings!$B$4&gt;I188),"Late",IF(AND(H188&lt;&gt;"",Settings!$B$4&gt;H188,K188&lt;&gt;"Shipped"),"Ship overdue",IF(OR(K188="Delayed",AND(I188&lt;&gt;"",I188-Settings!$B$4&lt;=Settings!$B$5,K188&lt;&gt;"Shipped")),"At risk",IF(AND(Q188&lt;&gt;"",Q188&gt;Settings!$B$6),"Stale","On track"))))))</f>
        <v/>
      </c>
      <c r="S188" s="29" t="str">
        <f aca="false">IF(R188="","",IF(R188="Late","Ask for a new ETA and tracking number",IF(R188="Ship overdue","Ask why it hasn't shipped; get a firm ship date",IF(R188="At risk","Confirm the ship date this week",IF(R188="Stale","Request a status update",IF(R188="Closed","-","No action needed"))))))</f>
        <v/>
      </c>
      <c r="T188" s="30" t="str">
        <f aca="false">IF(OR(A188="",N188="",M188=""),"",IF(N188=0,"",M188/N188))</f>
        <v/>
      </c>
      <c r="U188" s="29" t="str">
        <f aca="false">IF(OR(T188="",I188="",R188="Closed"),"",IF(R188="Late","ETA passed: "&amp;ROUND(T188,0)&amp;" days of stock left",IF(Settings!$B$4+T188&lt;I188,"YES: "&amp;ROUND(I188-(Settings!$B$4+T188),0)&amp;" days short","No")))</f>
        <v/>
      </c>
      <c r="V188" s="31" t="str">
        <f aca="false">IF(R188="","",IF(OR(R188="Late",R188="Ship overdue",R188="Stale"),Settings!$B$4,IF(R188="At risk",Settings!$B$4+2,"")))</f>
        <v/>
      </c>
    </row>
    <row r="189" customFormat="false" ht="15" hidden="false" customHeight="false" outlineLevel="0" collapsed="false">
      <c r="A189" s="32"/>
      <c r="B189" s="32"/>
      <c r="C189" s="32"/>
      <c r="D189" s="32"/>
      <c r="E189" s="33"/>
      <c r="F189" s="33"/>
      <c r="G189" s="34"/>
      <c r="H189" s="34"/>
      <c r="I189" s="34"/>
      <c r="J189" s="34"/>
      <c r="K189" s="32"/>
      <c r="L189" s="35"/>
      <c r="M189" s="33"/>
      <c r="N189" s="33"/>
      <c r="O189" s="27" t="str">
        <f aca="false">IF(A189="","",MAX(E189-F189,0))</f>
        <v/>
      </c>
      <c r="P189" s="28" t="str">
        <f aca="false">IF(OR(A189="",I189=""),"",MAX(Settings!$B$4-I189,0))</f>
        <v/>
      </c>
      <c r="Q189" s="28" t="str">
        <f aca="false">IF(OR(A189="",J189=""),"",Settings!$B$4-J189)</f>
        <v/>
      </c>
      <c r="R189" s="29" t="str">
        <f aca="false">IF(A189="","",IF(OR(K189="Received",AND(E189&lt;&gt;"",O189=0)),"Closed",IF(AND(I189&lt;&gt;"",Settings!$B$4&gt;I189),"Late",IF(AND(H189&lt;&gt;"",Settings!$B$4&gt;H189,K189&lt;&gt;"Shipped"),"Ship overdue",IF(OR(K189="Delayed",AND(I189&lt;&gt;"",I189-Settings!$B$4&lt;=Settings!$B$5,K189&lt;&gt;"Shipped")),"At risk",IF(AND(Q189&lt;&gt;"",Q189&gt;Settings!$B$6),"Stale","On track"))))))</f>
        <v/>
      </c>
      <c r="S189" s="29" t="str">
        <f aca="false">IF(R189="","",IF(R189="Late","Ask for a new ETA and tracking number",IF(R189="Ship overdue","Ask why it hasn't shipped; get a firm ship date",IF(R189="At risk","Confirm the ship date this week",IF(R189="Stale","Request a status update",IF(R189="Closed","-","No action needed"))))))</f>
        <v/>
      </c>
      <c r="T189" s="30" t="str">
        <f aca="false">IF(OR(A189="",N189="",M189=""),"",IF(N189=0,"",M189/N189))</f>
        <v/>
      </c>
      <c r="U189" s="29" t="str">
        <f aca="false">IF(OR(T189="",I189="",R189="Closed"),"",IF(R189="Late","ETA passed: "&amp;ROUND(T189,0)&amp;" days of stock left",IF(Settings!$B$4+T189&lt;I189,"YES: "&amp;ROUND(I189-(Settings!$B$4+T189),0)&amp;" days short","No")))</f>
        <v/>
      </c>
      <c r="V189" s="31" t="str">
        <f aca="false">IF(R189="","",IF(OR(R189="Late",R189="Ship overdue",R189="Stale"),Settings!$B$4,IF(R189="At risk",Settings!$B$4+2,"")))</f>
        <v/>
      </c>
    </row>
    <row r="190" customFormat="false" ht="15" hidden="false" customHeight="false" outlineLevel="0" collapsed="false">
      <c r="A190" s="32"/>
      <c r="B190" s="32"/>
      <c r="C190" s="32"/>
      <c r="D190" s="32"/>
      <c r="E190" s="33"/>
      <c r="F190" s="33"/>
      <c r="G190" s="34"/>
      <c r="H190" s="34"/>
      <c r="I190" s="34"/>
      <c r="J190" s="34"/>
      <c r="K190" s="32"/>
      <c r="L190" s="35"/>
      <c r="M190" s="33"/>
      <c r="N190" s="33"/>
      <c r="O190" s="27" t="str">
        <f aca="false">IF(A190="","",MAX(E190-F190,0))</f>
        <v/>
      </c>
      <c r="P190" s="28" t="str">
        <f aca="false">IF(OR(A190="",I190=""),"",MAX(Settings!$B$4-I190,0))</f>
        <v/>
      </c>
      <c r="Q190" s="28" t="str">
        <f aca="false">IF(OR(A190="",J190=""),"",Settings!$B$4-J190)</f>
        <v/>
      </c>
      <c r="R190" s="29" t="str">
        <f aca="false">IF(A190="","",IF(OR(K190="Received",AND(E190&lt;&gt;"",O190=0)),"Closed",IF(AND(I190&lt;&gt;"",Settings!$B$4&gt;I190),"Late",IF(AND(H190&lt;&gt;"",Settings!$B$4&gt;H190,K190&lt;&gt;"Shipped"),"Ship overdue",IF(OR(K190="Delayed",AND(I190&lt;&gt;"",I190-Settings!$B$4&lt;=Settings!$B$5,K190&lt;&gt;"Shipped")),"At risk",IF(AND(Q190&lt;&gt;"",Q190&gt;Settings!$B$6),"Stale","On track"))))))</f>
        <v/>
      </c>
      <c r="S190" s="29" t="str">
        <f aca="false">IF(R190="","",IF(R190="Late","Ask for a new ETA and tracking number",IF(R190="Ship overdue","Ask why it hasn't shipped; get a firm ship date",IF(R190="At risk","Confirm the ship date this week",IF(R190="Stale","Request a status update",IF(R190="Closed","-","No action needed"))))))</f>
        <v/>
      </c>
      <c r="T190" s="30" t="str">
        <f aca="false">IF(OR(A190="",N190="",M190=""),"",IF(N190=0,"",M190/N190))</f>
        <v/>
      </c>
      <c r="U190" s="29" t="str">
        <f aca="false">IF(OR(T190="",I190="",R190="Closed"),"",IF(R190="Late","ETA passed: "&amp;ROUND(T190,0)&amp;" days of stock left",IF(Settings!$B$4+T190&lt;I190,"YES: "&amp;ROUND(I190-(Settings!$B$4+T190),0)&amp;" days short","No")))</f>
        <v/>
      </c>
      <c r="V190" s="31" t="str">
        <f aca="false">IF(R190="","",IF(OR(R190="Late",R190="Ship overdue",R190="Stale"),Settings!$B$4,IF(R190="At risk",Settings!$B$4+2,"")))</f>
        <v/>
      </c>
    </row>
    <row r="191" customFormat="false" ht="15" hidden="false" customHeight="false" outlineLevel="0" collapsed="false">
      <c r="A191" s="32"/>
      <c r="B191" s="32"/>
      <c r="C191" s="32"/>
      <c r="D191" s="32"/>
      <c r="E191" s="33"/>
      <c r="F191" s="33"/>
      <c r="G191" s="34"/>
      <c r="H191" s="34"/>
      <c r="I191" s="34"/>
      <c r="J191" s="34"/>
      <c r="K191" s="32"/>
      <c r="L191" s="35"/>
      <c r="M191" s="33"/>
      <c r="N191" s="33"/>
      <c r="O191" s="27" t="str">
        <f aca="false">IF(A191="","",MAX(E191-F191,0))</f>
        <v/>
      </c>
      <c r="P191" s="28" t="str">
        <f aca="false">IF(OR(A191="",I191=""),"",MAX(Settings!$B$4-I191,0))</f>
        <v/>
      </c>
      <c r="Q191" s="28" t="str">
        <f aca="false">IF(OR(A191="",J191=""),"",Settings!$B$4-J191)</f>
        <v/>
      </c>
      <c r="R191" s="29" t="str">
        <f aca="false">IF(A191="","",IF(OR(K191="Received",AND(E191&lt;&gt;"",O191=0)),"Closed",IF(AND(I191&lt;&gt;"",Settings!$B$4&gt;I191),"Late",IF(AND(H191&lt;&gt;"",Settings!$B$4&gt;H191,K191&lt;&gt;"Shipped"),"Ship overdue",IF(OR(K191="Delayed",AND(I191&lt;&gt;"",I191-Settings!$B$4&lt;=Settings!$B$5,K191&lt;&gt;"Shipped")),"At risk",IF(AND(Q191&lt;&gt;"",Q191&gt;Settings!$B$6),"Stale","On track"))))))</f>
        <v/>
      </c>
      <c r="S191" s="29" t="str">
        <f aca="false">IF(R191="","",IF(R191="Late","Ask for a new ETA and tracking number",IF(R191="Ship overdue","Ask why it hasn't shipped; get a firm ship date",IF(R191="At risk","Confirm the ship date this week",IF(R191="Stale","Request a status update",IF(R191="Closed","-","No action needed"))))))</f>
        <v/>
      </c>
      <c r="T191" s="30" t="str">
        <f aca="false">IF(OR(A191="",N191="",M191=""),"",IF(N191=0,"",M191/N191))</f>
        <v/>
      </c>
      <c r="U191" s="29" t="str">
        <f aca="false">IF(OR(T191="",I191="",R191="Closed"),"",IF(R191="Late","ETA passed: "&amp;ROUND(T191,0)&amp;" days of stock left",IF(Settings!$B$4+T191&lt;I191,"YES: "&amp;ROUND(I191-(Settings!$B$4+T191),0)&amp;" days short","No")))</f>
        <v/>
      </c>
      <c r="V191" s="31" t="str">
        <f aca="false">IF(R191="","",IF(OR(R191="Late",R191="Ship overdue",R191="Stale"),Settings!$B$4,IF(R191="At risk",Settings!$B$4+2,"")))</f>
        <v/>
      </c>
    </row>
    <row r="192" customFormat="false" ht="15" hidden="false" customHeight="false" outlineLevel="0" collapsed="false">
      <c r="A192" s="32"/>
      <c r="B192" s="32"/>
      <c r="C192" s="32"/>
      <c r="D192" s="32"/>
      <c r="E192" s="33"/>
      <c r="F192" s="33"/>
      <c r="G192" s="34"/>
      <c r="H192" s="34"/>
      <c r="I192" s="34"/>
      <c r="J192" s="34"/>
      <c r="K192" s="32"/>
      <c r="L192" s="35"/>
      <c r="M192" s="33"/>
      <c r="N192" s="33"/>
      <c r="O192" s="27" t="str">
        <f aca="false">IF(A192="","",MAX(E192-F192,0))</f>
        <v/>
      </c>
      <c r="P192" s="28" t="str">
        <f aca="false">IF(OR(A192="",I192=""),"",MAX(Settings!$B$4-I192,0))</f>
        <v/>
      </c>
      <c r="Q192" s="28" t="str">
        <f aca="false">IF(OR(A192="",J192=""),"",Settings!$B$4-J192)</f>
        <v/>
      </c>
      <c r="R192" s="29" t="str">
        <f aca="false">IF(A192="","",IF(OR(K192="Received",AND(E192&lt;&gt;"",O192=0)),"Closed",IF(AND(I192&lt;&gt;"",Settings!$B$4&gt;I192),"Late",IF(AND(H192&lt;&gt;"",Settings!$B$4&gt;H192,K192&lt;&gt;"Shipped"),"Ship overdue",IF(OR(K192="Delayed",AND(I192&lt;&gt;"",I192-Settings!$B$4&lt;=Settings!$B$5,K192&lt;&gt;"Shipped")),"At risk",IF(AND(Q192&lt;&gt;"",Q192&gt;Settings!$B$6),"Stale","On track"))))))</f>
        <v/>
      </c>
      <c r="S192" s="29" t="str">
        <f aca="false">IF(R192="","",IF(R192="Late","Ask for a new ETA and tracking number",IF(R192="Ship overdue","Ask why it hasn't shipped; get a firm ship date",IF(R192="At risk","Confirm the ship date this week",IF(R192="Stale","Request a status update",IF(R192="Closed","-","No action needed"))))))</f>
        <v/>
      </c>
      <c r="T192" s="30" t="str">
        <f aca="false">IF(OR(A192="",N192="",M192=""),"",IF(N192=0,"",M192/N192))</f>
        <v/>
      </c>
      <c r="U192" s="29" t="str">
        <f aca="false">IF(OR(T192="",I192="",R192="Closed"),"",IF(R192="Late","ETA passed: "&amp;ROUND(T192,0)&amp;" days of stock left",IF(Settings!$B$4+T192&lt;I192,"YES: "&amp;ROUND(I192-(Settings!$B$4+T192),0)&amp;" days short","No")))</f>
        <v/>
      </c>
      <c r="V192" s="31" t="str">
        <f aca="false">IF(R192="","",IF(OR(R192="Late",R192="Ship overdue",R192="Stale"),Settings!$B$4,IF(R192="At risk",Settings!$B$4+2,"")))</f>
        <v/>
      </c>
    </row>
    <row r="193" customFormat="false" ht="15" hidden="false" customHeight="false" outlineLevel="0" collapsed="false">
      <c r="A193" s="32"/>
      <c r="B193" s="32"/>
      <c r="C193" s="32"/>
      <c r="D193" s="32"/>
      <c r="E193" s="33"/>
      <c r="F193" s="33"/>
      <c r="G193" s="34"/>
      <c r="H193" s="34"/>
      <c r="I193" s="34"/>
      <c r="J193" s="34"/>
      <c r="K193" s="32"/>
      <c r="L193" s="35"/>
      <c r="M193" s="33"/>
      <c r="N193" s="33"/>
      <c r="O193" s="27" t="str">
        <f aca="false">IF(A193="","",MAX(E193-F193,0))</f>
        <v/>
      </c>
      <c r="P193" s="28" t="str">
        <f aca="false">IF(OR(A193="",I193=""),"",MAX(Settings!$B$4-I193,0))</f>
        <v/>
      </c>
      <c r="Q193" s="28" t="str">
        <f aca="false">IF(OR(A193="",J193=""),"",Settings!$B$4-J193)</f>
        <v/>
      </c>
      <c r="R193" s="29" t="str">
        <f aca="false">IF(A193="","",IF(OR(K193="Received",AND(E193&lt;&gt;"",O193=0)),"Closed",IF(AND(I193&lt;&gt;"",Settings!$B$4&gt;I193),"Late",IF(AND(H193&lt;&gt;"",Settings!$B$4&gt;H193,K193&lt;&gt;"Shipped"),"Ship overdue",IF(OR(K193="Delayed",AND(I193&lt;&gt;"",I193-Settings!$B$4&lt;=Settings!$B$5,K193&lt;&gt;"Shipped")),"At risk",IF(AND(Q193&lt;&gt;"",Q193&gt;Settings!$B$6),"Stale","On track"))))))</f>
        <v/>
      </c>
      <c r="S193" s="29" t="str">
        <f aca="false">IF(R193="","",IF(R193="Late","Ask for a new ETA and tracking number",IF(R193="Ship overdue","Ask why it hasn't shipped; get a firm ship date",IF(R193="At risk","Confirm the ship date this week",IF(R193="Stale","Request a status update",IF(R193="Closed","-","No action needed"))))))</f>
        <v/>
      </c>
      <c r="T193" s="30" t="str">
        <f aca="false">IF(OR(A193="",N193="",M193=""),"",IF(N193=0,"",M193/N193))</f>
        <v/>
      </c>
      <c r="U193" s="29" t="str">
        <f aca="false">IF(OR(T193="",I193="",R193="Closed"),"",IF(R193="Late","ETA passed: "&amp;ROUND(T193,0)&amp;" days of stock left",IF(Settings!$B$4+T193&lt;I193,"YES: "&amp;ROUND(I193-(Settings!$B$4+T193),0)&amp;" days short","No")))</f>
        <v/>
      </c>
      <c r="V193" s="31" t="str">
        <f aca="false">IF(R193="","",IF(OR(R193="Late",R193="Ship overdue",R193="Stale"),Settings!$B$4,IF(R193="At risk",Settings!$B$4+2,"")))</f>
        <v/>
      </c>
    </row>
    <row r="194" customFormat="false" ht="15" hidden="false" customHeight="false" outlineLevel="0" collapsed="false">
      <c r="A194" s="32"/>
      <c r="B194" s="32"/>
      <c r="C194" s="32"/>
      <c r="D194" s="32"/>
      <c r="E194" s="33"/>
      <c r="F194" s="33"/>
      <c r="G194" s="34"/>
      <c r="H194" s="34"/>
      <c r="I194" s="34"/>
      <c r="J194" s="34"/>
      <c r="K194" s="32"/>
      <c r="L194" s="35"/>
      <c r="M194" s="33"/>
      <c r="N194" s="33"/>
      <c r="O194" s="27" t="str">
        <f aca="false">IF(A194="","",MAX(E194-F194,0))</f>
        <v/>
      </c>
      <c r="P194" s="28" t="str">
        <f aca="false">IF(OR(A194="",I194=""),"",MAX(Settings!$B$4-I194,0))</f>
        <v/>
      </c>
      <c r="Q194" s="28" t="str">
        <f aca="false">IF(OR(A194="",J194=""),"",Settings!$B$4-J194)</f>
        <v/>
      </c>
      <c r="R194" s="29" t="str">
        <f aca="false">IF(A194="","",IF(OR(K194="Received",AND(E194&lt;&gt;"",O194=0)),"Closed",IF(AND(I194&lt;&gt;"",Settings!$B$4&gt;I194),"Late",IF(AND(H194&lt;&gt;"",Settings!$B$4&gt;H194,K194&lt;&gt;"Shipped"),"Ship overdue",IF(OR(K194="Delayed",AND(I194&lt;&gt;"",I194-Settings!$B$4&lt;=Settings!$B$5,K194&lt;&gt;"Shipped")),"At risk",IF(AND(Q194&lt;&gt;"",Q194&gt;Settings!$B$6),"Stale","On track"))))))</f>
        <v/>
      </c>
      <c r="S194" s="29" t="str">
        <f aca="false">IF(R194="","",IF(R194="Late","Ask for a new ETA and tracking number",IF(R194="Ship overdue","Ask why it hasn't shipped; get a firm ship date",IF(R194="At risk","Confirm the ship date this week",IF(R194="Stale","Request a status update",IF(R194="Closed","-","No action needed"))))))</f>
        <v/>
      </c>
      <c r="T194" s="30" t="str">
        <f aca="false">IF(OR(A194="",N194="",M194=""),"",IF(N194=0,"",M194/N194))</f>
        <v/>
      </c>
      <c r="U194" s="29" t="str">
        <f aca="false">IF(OR(T194="",I194="",R194="Closed"),"",IF(R194="Late","ETA passed: "&amp;ROUND(T194,0)&amp;" days of stock left",IF(Settings!$B$4+T194&lt;I194,"YES: "&amp;ROUND(I194-(Settings!$B$4+T194),0)&amp;" days short","No")))</f>
        <v/>
      </c>
      <c r="V194" s="31" t="str">
        <f aca="false">IF(R194="","",IF(OR(R194="Late",R194="Ship overdue",R194="Stale"),Settings!$B$4,IF(R194="At risk",Settings!$B$4+2,"")))</f>
        <v/>
      </c>
    </row>
    <row r="195" customFormat="false" ht="15" hidden="false" customHeight="false" outlineLevel="0" collapsed="false">
      <c r="A195" s="32"/>
      <c r="B195" s="32"/>
      <c r="C195" s="32"/>
      <c r="D195" s="32"/>
      <c r="E195" s="33"/>
      <c r="F195" s="33"/>
      <c r="G195" s="34"/>
      <c r="H195" s="34"/>
      <c r="I195" s="34"/>
      <c r="J195" s="34"/>
      <c r="K195" s="32"/>
      <c r="L195" s="35"/>
      <c r="M195" s="33"/>
      <c r="N195" s="33"/>
      <c r="O195" s="27" t="str">
        <f aca="false">IF(A195="","",MAX(E195-F195,0))</f>
        <v/>
      </c>
      <c r="P195" s="28" t="str">
        <f aca="false">IF(OR(A195="",I195=""),"",MAX(Settings!$B$4-I195,0))</f>
        <v/>
      </c>
      <c r="Q195" s="28" t="str">
        <f aca="false">IF(OR(A195="",J195=""),"",Settings!$B$4-J195)</f>
        <v/>
      </c>
      <c r="R195" s="29" t="str">
        <f aca="false">IF(A195="","",IF(OR(K195="Received",AND(E195&lt;&gt;"",O195=0)),"Closed",IF(AND(I195&lt;&gt;"",Settings!$B$4&gt;I195),"Late",IF(AND(H195&lt;&gt;"",Settings!$B$4&gt;H195,K195&lt;&gt;"Shipped"),"Ship overdue",IF(OR(K195="Delayed",AND(I195&lt;&gt;"",I195-Settings!$B$4&lt;=Settings!$B$5,K195&lt;&gt;"Shipped")),"At risk",IF(AND(Q195&lt;&gt;"",Q195&gt;Settings!$B$6),"Stale","On track"))))))</f>
        <v/>
      </c>
      <c r="S195" s="29" t="str">
        <f aca="false">IF(R195="","",IF(R195="Late","Ask for a new ETA and tracking number",IF(R195="Ship overdue","Ask why it hasn't shipped; get a firm ship date",IF(R195="At risk","Confirm the ship date this week",IF(R195="Stale","Request a status update",IF(R195="Closed","-","No action needed"))))))</f>
        <v/>
      </c>
      <c r="T195" s="30" t="str">
        <f aca="false">IF(OR(A195="",N195="",M195=""),"",IF(N195=0,"",M195/N195))</f>
        <v/>
      </c>
      <c r="U195" s="29" t="str">
        <f aca="false">IF(OR(T195="",I195="",R195="Closed"),"",IF(R195="Late","ETA passed: "&amp;ROUND(T195,0)&amp;" days of stock left",IF(Settings!$B$4+T195&lt;I195,"YES: "&amp;ROUND(I195-(Settings!$B$4+T195),0)&amp;" days short","No")))</f>
        <v/>
      </c>
      <c r="V195" s="31" t="str">
        <f aca="false">IF(R195="","",IF(OR(R195="Late",R195="Ship overdue",R195="Stale"),Settings!$B$4,IF(R195="At risk",Settings!$B$4+2,"")))</f>
        <v/>
      </c>
    </row>
    <row r="196" customFormat="false" ht="15" hidden="false" customHeight="false" outlineLevel="0" collapsed="false">
      <c r="A196" s="32"/>
      <c r="B196" s="32"/>
      <c r="C196" s="32"/>
      <c r="D196" s="32"/>
      <c r="E196" s="33"/>
      <c r="F196" s="33"/>
      <c r="G196" s="34"/>
      <c r="H196" s="34"/>
      <c r="I196" s="34"/>
      <c r="J196" s="34"/>
      <c r="K196" s="32"/>
      <c r="L196" s="35"/>
      <c r="M196" s="33"/>
      <c r="N196" s="33"/>
      <c r="O196" s="27" t="str">
        <f aca="false">IF(A196="","",MAX(E196-F196,0))</f>
        <v/>
      </c>
      <c r="P196" s="28" t="str">
        <f aca="false">IF(OR(A196="",I196=""),"",MAX(Settings!$B$4-I196,0))</f>
        <v/>
      </c>
      <c r="Q196" s="28" t="str">
        <f aca="false">IF(OR(A196="",J196=""),"",Settings!$B$4-J196)</f>
        <v/>
      </c>
      <c r="R196" s="29" t="str">
        <f aca="false">IF(A196="","",IF(OR(K196="Received",AND(E196&lt;&gt;"",O196=0)),"Closed",IF(AND(I196&lt;&gt;"",Settings!$B$4&gt;I196),"Late",IF(AND(H196&lt;&gt;"",Settings!$B$4&gt;H196,K196&lt;&gt;"Shipped"),"Ship overdue",IF(OR(K196="Delayed",AND(I196&lt;&gt;"",I196-Settings!$B$4&lt;=Settings!$B$5,K196&lt;&gt;"Shipped")),"At risk",IF(AND(Q196&lt;&gt;"",Q196&gt;Settings!$B$6),"Stale","On track"))))))</f>
        <v/>
      </c>
      <c r="S196" s="29" t="str">
        <f aca="false">IF(R196="","",IF(R196="Late","Ask for a new ETA and tracking number",IF(R196="Ship overdue","Ask why it hasn't shipped; get a firm ship date",IF(R196="At risk","Confirm the ship date this week",IF(R196="Stale","Request a status update",IF(R196="Closed","-","No action needed"))))))</f>
        <v/>
      </c>
      <c r="T196" s="30" t="str">
        <f aca="false">IF(OR(A196="",N196="",M196=""),"",IF(N196=0,"",M196/N196))</f>
        <v/>
      </c>
      <c r="U196" s="29" t="str">
        <f aca="false">IF(OR(T196="",I196="",R196="Closed"),"",IF(R196="Late","ETA passed: "&amp;ROUND(T196,0)&amp;" days of stock left",IF(Settings!$B$4+T196&lt;I196,"YES: "&amp;ROUND(I196-(Settings!$B$4+T196),0)&amp;" days short","No")))</f>
        <v/>
      </c>
      <c r="V196" s="31" t="str">
        <f aca="false">IF(R196="","",IF(OR(R196="Late",R196="Ship overdue",R196="Stale"),Settings!$B$4,IF(R196="At risk",Settings!$B$4+2,"")))</f>
        <v/>
      </c>
    </row>
    <row r="197" customFormat="false" ht="15" hidden="false" customHeight="false" outlineLevel="0" collapsed="false">
      <c r="A197" s="32"/>
      <c r="B197" s="32"/>
      <c r="C197" s="32"/>
      <c r="D197" s="32"/>
      <c r="E197" s="33"/>
      <c r="F197" s="33"/>
      <c r="G197" s="34"/>
      <c r="H197" s="34"/>
      <c r="I197" s="34"/>
      <c r="J197" s="34"/>
      <c r="K197" s="32"/>
      <c r="L197" s="35"/>
      <c r="M197" s="33"/>
      <c r="N197" s="33"/>
      <c r="O197" s="27" t="str">
        <f aca="false">IF(A197="","",MAX(E197-F197,0))</f>
        <v/>
      </c>
      <c r="P197" s="28" t="str">
        <f aca="false">IF(OR(A197="",I197=""),"",MAX(Settings!$B$4-I197,0))</f>
        <v/>
      </c>
      <c r="Q197" s="28" t="str">
        <f aca="false">IF(OR(A197="",J197=""),"",Settings!$B$4-J197)</f>
        <v/>
      </c>
      <c r="R197" s="29" t="str">
        <f aca="false">IF(A197="","",IF(OR(K197="Received",AND(E197&lt;&gt;"",O197=0)),"Closed",IF(AND(I197&lt;&gt;"",Settings!$B$4&gt;I197),"Late",IF(AND(H197&lt;&gt;"",Settings!$B$4&gt;H197,K197&lt;&gt;"Shipped"),"Ship overdue",IF(OR(K197="Delayed",AND(I197&lt;&gt;"",I197-Settings!$B$4&lt;=Settings!$B$5,K197&lt;&gt;"Shipped")),"At risk",IF(AND(Q197&lt;&gt;"",Q197&gt;Settings!$B$6),"Stale","On track"))))))</f>
        <v/>
      </c>
      <c r="S197" s="29" t="str">
        <f aca="false">IF(R197="","",IF(R197="Late","Ask for a new ETA and tracking number",IF(R197="Ship overdue","Ask why it hasn't shipped; get a firm ship date",IF(R197="At risk","Confirm the ship date this week",IF(R197="Stale","Request a status update",IF(R197="Closed","-","No action needed"))))))</f>
        <v/>
      </c>
      <c r="T197" s="30" t="str">
        <f aca="false">IF(OR(A197="",N197="",M197=""),"",IF(N197=0,"",M197/N197))</f>
        <v/>
      </c>
      <c r="U197" s="29" t="str">
        <f aca="false">IF(OR(T197="",I197="",R197="Closed"),"",IF(R197="Late","ETA passed: "&amp;ROUND(T197,0)&amp;" days of stock left",IF(Settings!$B$4+T197&lt;I197,"YES: "&amp;ROUND(I197-(Settings!$B$4+T197),0)&amp;" days short","No")))</f>
        <v/>
      </c>
      <c r="V197" s="31" t="str">
        <f aca="false">IF(R197="","",IF(OR(R197="Late",R197="Ship overdue",R197="Stale"),Settings!$B$4,IF(R197="At risk",Settings!$B$4+2,"")))</f>
        <v/>
      </c>
    </row>
    <row r="198" customFormat="false" ht="15" hidden="false" customHeight="false" outlineLevel="0" collapsed="false">
      <c r="A198" s="32"/>
      <c r="B198" s="32"/>
      <c r="C198" s="32"/>
      <c r="D198" s="32"/>
      <c r="E198" s="33"/>
      <c r="F198" s="33"/>
      <c r="G198" s="34"/>
      <c r="H198" s="34"/>
      <c r="I198" s="34"/>
      <c r="J198" s="34"/>
      <c r="K198" s="32"/>
      <c r="L198" s="35"/>
      <c r="M198" s="33"/>
      <c r="N198" s="33"/>
      <c r="O198" s="27" t="str">
        <f aca="false">IF(A198="","",MAX(E198-F198,0))</f>
        <v/>
      </c>
      <c r="P198" s="28" t="str">
        <f aca="false">IF(OR(A198="",I198=""),"",MAX(Settings!$B$4-I198,0))</f>
        <v/>
      </c>
      <c r="Q198" s="28" t="str">
        <f aca="false">IF(OR(A198="",J198=""),"",Settings!$B$4-J198)</f>
        <v/>
      </c>
      <c r="R198" s="29" t="str">
        <f aca="false">IF(A198="","",IF(OR(K198="Received",AND(E198&lt;&gt;"",O198=0)),"Closed",IF(AND(I198&lt;&gt;"",Settings!$B$4&gt;I198),"Late",IF(AND(H198&lt;&gt;"",Settings!$B$4&gt;H198,K198&lt;&gt;"Shipped"),"Ship overdue",IF(OR(K198="Delayed",AND(I198&lt;&gt;"",I198-Settings!$B$4&lt;=Settings!$B$5,K198&lt;&gt;"Shipped")),"At risk",IF(AND(Q198&lt;&gt;"",Q198&gt;Settings!$B$6),"Stale","On track"))))))</f>
        <v/>
      </c>
      <c r="S198" s="29" t="str">
        <f aca="false">IF(R198="","",IF(R198="Late","Ask for a new ETA and tracking number",IF(R198="Ship overdue","Ask why it hasn't shipped; get a firm ship date",IF(R198="At risk","Confirm the ship date this week",IF(R198="Stale","Request a status update",IF(R198="Closed","-","No action needed"))))))</f>
        <v/>
      </c>
      <c r="T198" s="30" t="str">
        <f aca="false">IF(OR(A198="",N198="",M198=""),"",IF(N198=0,"",M198/N198))</f>
        <v/>
      </c>
      <c r="U198" s="29" t="str">
        <f aca="false">IF(OR(T198="",I198="",R198="Closed"),"",IF(R198="Late","ETA passed: "&amp;ROUND(T198,0)&amp;" days of stock left",IF(Settings!$B$4+T198&lt;I198,"YES: "&amp;ROUND(I198-(Settings!$B$4+T198),0)&amp;" days short","No")))</f>
        <v/>
      </c>
      <c r="V198" s="31" t="str">
        <f aca="false">IF(R198="","",IF(OR(R198="Late",R198="Ship overdue",R198="Stale"),Settings!$B$4,IF(R198="At risk",Settings!$B$4+2,"")))</f>
        <v/>
      </c>
    </row>
    <row r="199" customFormat="false" ht="15" hidden="false" customHeight="false" outlineLevel="0" collapsed="false">
      <c r="A199" s="32"/>
      <c r="B199" s="32"/>
      <c r="C199" s="32"/>
      <c r="D199" s="32"/>
      <c r="E199" s="33"/>
      <c r="F199" s="33"/>
      <c r="G199" s="34"/>
      <c r="H199" s="34"/>
      <c r="I199" s="34"/>
      <c r="J199" s="34"/>
      <c r="K199" s="32"/>
      <c r="L199" s="35"/>
      <c r="M199" s="33"/>
      <c r="N199" s="33"/>
      <c r="O199" s="27" t="str">
        <f aca="false">IF(A199="","",MAX(E199-F199,0))</f>
        <v/>
      </c>
      <c r="P199" s="28" t="str">
        <f aca="false">IF(OR(A199="",I199=""),"",MAX(Settings!$B$4-I199,0))</f>
        <v/>
      </c>
      <c r="Q199" s="28" t="str">
        <f aca="false">IF(OR(A199="",J199=""),"",Settings!$B$4-J199)</f>
        <v/>
      </c>
      <c r="R199" s="29" t="str">
        <f aca="false">IF(A199="","",IF(OR(K199="Received",AND(E199&lt;&gt;"",O199=0)),"Closed",IF(AND(I199&lt;&gt;"",Settings!$B$4&gt;I199),"Late",IF(AND(H199&lt;&gt;"",Settings!$B$4&gt;H199,K199&lt;&gt;"Shipped"),"Ship overdue",IF(OR(K199="Delayed",AND(I199&lt;&gt;"",I199-Settings!$B$4&lt;=Settings!$B$5,K199&lt;&gt;"Shipped")),"At risk",IF(AND(Q199&lt;&gt;"",Q199&gt;Settings!$B$6),"Stale","On track"))))))</f>
        <v/>
      </c>
      <c r="S199" s="29" t="str">
        <f aca="false">IF(R199="","",IF(R199="Late","Ask for a new ETA and tracking number",IF(R199="Ship overdue","Ask why it hasn't shipped; get a firm ship date",IF(R199="At risk","Confirm the ship date this week",IF(R199="Stale","Request a status update",IF(R199="Closed","-","No action needed"))))))</f>
        <v/>
      </c>
      <c r="T199" s="30" t="str">
        <f aca="false">IF(OR(A199="",N199="",M199=""),"",IF(N199=0,"",M199/N199))</f>
        <v/>
      </c>
      <c r="U199" s="29" t="str">
        <f aca="false">IF(OR(T199="",I199="",R199="Closed"),"",IF(R199="Late","ETA passed: "&amp;ROUND(T199,0)&amp;" days of stock left",IF(Settings!$B$4+T199&lt;I199,"YES: "&amp;ROUND(I199-(Settings!$B$4+T199),0)&amp;" days short","No")))</f>
        <v/>
      </c>
      <c r="V199" s="31" t="str">
        <f aca="false">IF(R199="","",IF(OR(R199="Late",R199="Ship overdue",R199="Stale"),Settings!$B$4,IF(R199="At risk",Settings!$B$4+2,"")))</f>
        <v/>
      </c>
    </row>
    <row r="200" customFormat="false" ht="15" hidden="false" customHeight="false" outlineLevel="0" collapsed="false">
      <c r="A200" s="32"/>
      <c r="B200" s="32"/>
      <c r="C200" s="32"/>
      <c r="D200" s="32"/>
      <c r="E200" s="33"/>
      <c r="F200" s="33"/>
      <c r="G200" s="34"/>
      <c r="H200" s="34"/>
      <c r="I200" s="34"/>
      <c r="J200" s="34"/>
      <c r="K200" s="32"/>
      <c r="L200" s="35"/>
      <c r="M200" s="33"/>
      <c r="N200" s="33"/>
      <c r="O200" s="27" t="str">
        <f aca="false">IF(A200="","",MAX(E200-F200,0))</f>
        <v/>
      </c>
      <c r="P200" s="28" t="str">
        <f aca="false">IF(OR(A200="",I200=""),"",MAX(Settings!$B$4-I200,0))</f>
        <v/>
      </c>
      <c r="Q200" s="28" t="str">
        <f aca="false">IF(OR(A200="",J200=""),"",Settings!$B$4-J200)</f>
        <v/>
      </c>
      <c r="R200" s="29" t="str">
        <f aca="false">IF(A200="","",IF(OR(K200="Received",AND(E200&lt;&gt;"",O200=0)),"Closed",IF(AND(I200&lt;&gt;"",Settings!$B$4&gt;I200),"Late",IF(AND(H200&lt;&gt;"",Settings!$B$4&gt;H200,K200&lt;&gt;"Shipped"),"Ship overdue",IF(OR(K200="Delayed",AND(I200&lt;&gt;"",I200-Settings!$B$4&lt;=Settings!$B$5,K200&lt;&gt;"Shipped")),"At risk",IF(AND(Q200&lt;&gt;"",Q200&gt;Settings!$B$6),"Stale","On track"))))))</f>
        <v/>
      </c>
      <c r="S200" s="29" t="str">
        <f aca="false">IF(R200="","",IF(R200="Late","Ask for a new ETA and tracking number",IF(R200="Ship overdue","Ask why it hasn't shipped; get a firm ship date",IF(R200="At risk","Confirm the ship date this week",IF(R200="Stale","Request a status update",IF(R200="Closed","-","No action needed"))))))</f>
        <v/>
      </c>
      <c r="T200" s="30" t="str">
        <f aca="false">IF(OR(A200="",N200="",M200=""),"",IF(N200=0,"",M200/N200))</f>
        <v/>
      </c>
      <c r="U200" s="29" t="str">
        <f aca="false">IF(OR(T200="",I200="",R200="Closed"),"",IF(R200="Late","ETA passed: "&amp;ROUND(T200,0)&amp;" days of stock left",IF(Settings!$B$4+T200&lt;I200,"YES: "&amp;ROUND(I200-(Settings!$B$4+T200),0)&amp;" days short","No")))</f>
        <v/>
      </c>
      <c r="V200" s="31" t="str">
        <f aca="false">IF(R200="","",IF(OR(R200="Late",R200="Ship overdue",R200="Stale"),Settings!$B$4,IF(R200="At risk",Settings!$B$4+2,"")))</f>
        <v/>
      </c>
    </row>
    <row r="201" customFormat="false" ht="15" hidden="false" customHeight="false" outlineLevel="0" collapsed="false">
      <c r="A201" s="32"/>
      <c r="B201" s="32"/>
      <c r="C201" s="32"/>
      <c r="D201" s="32"/>
      <c r="E201" s="33"/>
      <c r="F201" s="33"/>
      <c r="G201" s="34"/>
      <c r="H201" s="34"/>
      <c r="I201" s="34"/>
      <c r="J201" s="34"/>
      <c r="K201" s="32"/>
      <c r="L201" s="35"/>
      <c r="M201" s="33"/>
      <c r="N201" s="33"/>
      <c r="O201" s="27" t="str">
        <f aca="false">IF(A201="","",MAX(E201-F201,0))</f>
        <v/>
      </c>
      <c r="P201" s="28" t="str">
        <f aca="false">IF(OR(A201="",I201=""),"",MAX(Settings!$B$4-I201,0))</f>
        <v/>
      </c>
      <c r="Q201" s="28" t="str">
        <f aca="false">IF(OR(A201="",J201=""),"",Settings!$B$4-J201)</f>
        <v/>
      </c>
      <c r="R201" s="29" t="str">
        <f aca="false">IF(A201="","",IF(OR(K201="Received",AND(E201&lt;&gt;"",O201=0)),"Closed",IF(AND(I201&lt;&gt;"",Settings!$B$4&gt;I201),"Late",IF(AND(H201&lt;&gt;"",Settings!$B$4&gt;H201,K201&lt;&gt;"Shipped"),"Ship overdue",IF(OR(K201="Delayed",AND(I201&lt;&gt;"",I201-Settings!$B$4&lt;=Settings!$B$5,K201&lt;&gt;"Shipped")),"At risk",IF(AND(Q201&lt;&gt;"",Q201&gt;Settings!$B$6),"Stale","On track"))))))</f>
        <v/>
      </c>
      <c r="S201" s="29" t="str">
        <f aca="false">IF(R201="","",IF(R201="Late","Ask for a new ETA and tracking number",IF(R201="Ship overdue","Ask why it hasn't shipped; get a firm ship date",IF(R201="At risk","Confirm the ship date this week",IF(R201="Stale","Request a status update",IF(R201="Closed","-","No action needed"))))))</f>
        <v/>
      </c>
      <c r="T201" s="30" t="str">
        <f aca="false">IF(OR(A201="",N201="",M201=""),"",IF(N201=0,"",M201/N201))</f>
        <v/>
      </c>
      <c r="U201" s="29" t="str">
        <f aca="false">IF(OR(T201="",I201="",R201="Closed"),"",IF(R201="Late","ETA passed: "&amp;ROUND(T201,0)&amp;" days of stock left",IF(Settings!$B$4+T201&lt;I201,"YES: "&amp;ROUND(I201-(Settings!$B$4+T201),0)&amp;" days short","No")))</f>
        <v/>
      </c>
      <c r="V201" s="31" t="str">
        <f aca="false">IF(R201="","",IF(OR(R201="Late",R201="Ship overdue",R201="Stale"),Settings!$B$4,IF(R201="At risk",Settings!$B$4+2,"")))</f>
        <v/>
      </c>
    </row>
    <row r="202" customFormat="false" ht="15" hidden="false" customHeight="false" outlineLevel="0" collapsed="false">
      <c r="A202" s="32"/>
      <c r="B202" s="32"/>
      <c r="C202" s="32"/>
      <c r="D202" s="32"/>
      <c r="E202" s="33"/>
      <c r="F202" s="33"/>
      <c r="G202" s="34"/>
      <c r="H202" s="34"/>
      <c r="I202" s="34"/>
      <c r="J202" s="34"/>
      <c r="K202" s="32"/>
      <c r="L202" s="35"/>
      <c r="M202" s="33"/>
      <c r="N202" s="33"/>
      <c r="O202" s="27" t="str">
        <f aca="false">IF(A202="","",MAX(E202-F202,0))</f>
        <v/>
      </c>
      <c r="P202" s="28" t="str">
        <f aca="false">IF(OR(A202="",I202=""),"",MAX(Settings!$B$4-I202,0))</f>
        <v/>
      </c>
      <c r="Q202" s="28" t="str">
        <f aca="false">IF(OR(A202="",J202=""),"",Settings!$B$4-J202)</f>
        <v/>
      </c>
      <c r="R202" s="29" t="str">
        <f aca="false">IF(A202="","",IF(OR(K202="Received",AND(E202&lt;&gt;"",O202=0)),"Closed",IF(AND(I202&lt;&gt;"",Settings!$B$4&gt;I202),"Late",IF(AND(H202&lt;&gt;"",Settings!$B$4&gt;H202,K202&lt;&gt;"Shipped"),"Ship overdue",IF(OR(K202="Delayed",AND(I202&lt;&gt;"",I202-Settings!$B$4&lt;=Settings!$B$5,K202&lt;&gt;"Shipped")),"At risk",IF(AND(Q202&lt;&gt;"",Q202&gt;Settings!$B$6),"Stale","On track"))))))</f>
        <v/>
      </c>
      <c r="S202" s="29" t="str">
        <f aca="false">IF(R202="","",IF(R202="Late","Ask for a new ETA and tracking number",IF(R202="Ship overdue","Ask why it hasn't shipped; get a firm ship date",IF(R202="At risk","Confirm the ship date this week",IF(R202="Stale","Request a status update",IF(R202="Closed","-","No action needed"))))))</f>
        <v/>
      </c>
      <c r="T202" s="30" t="str">
        <f aca="false">IF(OR(A202="",N202="",M202=""),"",IF(N202=0,"",M202/N202))</f>
        <v/>
      </c>
      <c r="U202" s="29" t="str">
        <f aca="false">IF(OR(T202="",I202="",R202="Closed"),"",IF(R202="Late","ETA passed: "&amp;ROUND(T202,0)&amp;" days of stock left",IF(Settings!$B$4+T202&lt;I202,"YES: "&amp;ROUND(I202-(Settings!$B$4+T202),0)&amp;" days short","No")))</f>
        <v/>
      </c>
      <c r="V202" s="31" t="str">
        <f aca="false">IF(R202="","",IF(OR(R202="Late",R202="Ship overdue",R202="Stale"),Settings!$B$4,IF(R202="At risk",Settings!$B$4+2,"")))</f>
        <v/>
      </c>
    </row>
    <row r="203" customFormat="false" ht="15" hidden="false" customHeight="false" outlineLevel="0" collapsed="false">
      <c r="A203" s="32"/>
      <c r="B203" s="32"/>
      <c r="C203" s="32"/>
      <c r="D203" s="32"/>
      <c r="E203" s="33"/>
      <c r="F203" s="33"/>
      <c r="G203" s="34"/>
      <c r="H203" s="34"/>
      <c r="I203" s="34"/>
      <c r="J203" s="34"/>
      <c r="K203" s="32"/>
      <c r="L203" s="35"/>
      <c r="M203" s="33"/>
      <c r="N203" s="33"/>
      <c r="O203" s="27" t="str">
        <f aca="false">IF(A203="","",MAX(E203-F203,0))</f>
        <v/>
      </c>
      <c r="P203" s="28" t="str">
        <f aca="false">IF(OR(A203="",I203=""),"",MAX(Settings!$B$4-I203,0))</f>
        <v/>
      </c>
      <c r="Q203" s="28" t="str">
        <f aca="false">IF(OR(A203="",J203=""),"",Settings!$B$4-J203)</f>
        <v/>
      </c>
      <c r="R203" s="29" t="str">
        <f aca="false">IF(A203="","",IF(OR(K203="Received",AND(E203&lt;&gt;"",O203=0)),"Closed",IF(AND(I203&lt;&gt;"",Settings!$B$4&gt;I203),"Late",IF(AND(H203&lt;&gt;"",Settings!$B$4&gt;H203,K203&lt;&gt;"Shipped"),"Ship overdue",IF(OR(K203="Delayed",AND(I203&lt;&gt;"",I203-Settings!$B$4&lt;=Settings!$B$5,K203&lt;&gt;"Shipped")),"At risk",IF(AND(Q203&lt;&gt;"",Q203&gt;Settings!$B$6),"Stale","On track"))))))</f>
        <v/>
      </c>
      <c r="S203" s="29" t="str">
        <f aca="false">IF(R203="","",IF(R203="Late","Ask for a new ETA and tracking number",IF(R203="Ship overdue","Ask why it hasn't shipped; get a firm ship date",IF(R203="At risk","Confirm the ship date this week",IF(R203="Stale","Request a status update",IF(R203="Closed","-","No action needed"))))))</f>
        <v/>
      </c>
      <c r="T203" s="30" t="str">
        <f aca="false">IF(OR(A203="",N203="",M203=""),"",IF(N203=0,"",M203/N203))</f>
        <v/>
      </c>
      <c r="U203" s="29" t="str">
        <f aca="false">IF(OR(T203="",I203="",R203="Closed"),"",IF(R203="Late","ETA passed: "&amp;ROUND(T203,0)&amp;" days of stock left",IF(Settings!$B$4+T203&lt;I203,"YES: "&amp;ROUND(I203-(Settings!$B$4+T203),0)&amp;" days short","No")))</f>
        <v/>
      </c>
      <c r="V203" s="31" t="str">
        <f aca="false">IF(R203="","",IF(OR(R203="Late",R203="Ship overdue",R203="Stale"),Settings!$B$4,IF(R203="At risk",Settings!$B$4+2,"")))</f>
        <v/>
      </c>
    </row>
    <row r="204" customFormat="false" ht="15" hidden="false" customHeight="false" outlineLevel="0" collapsed="false">
      <c r="A204" s="32"/>
      <c r="B204" s="32"/>
      <c r="C204" s="32"/>
      <c r="D204" s="32"/>
      <c r="E204" s="33"/>
      <c r="F204" s="33"/>
      <c r="G204" s="34"/>
      <c r="H204" s="34"/>
      <c r="I204" s="34"/>
      <c r="J204" s="34"/>
      <c r="K204" s="32"/>
      <c r="L204" s="35"/>
      <c r="M204" s="33"/>
      <c r="N204" s="33"/>
      <c r="O204" s="27" t="str">
        <f aca="false">IF(A204="","",MAX(E204-F204,0))</f>
        <v/>
      </c>
      <c r="P204" s="28" t="str">
        <f aca="false">IF(OR(A204="",I204=""),"",MAX(Settings!$B$4-I204,0))</f>
        <v/>
      </c>
      <c r="Q204" s="28" t="str">
        <f aca="false">IF(OR(A204="",J204=""),"",Settings!$B$4-J204)</f>
        <v/>
      </c>
      <c r="R204" s="29" t="str">
        <f aca="false">IF(A204="","",IF(OR(K204="Received",AND(E204&lt;&gt;"",O204=0)),"Closed",IF(AND(I204&lt;&gt;"",Settings!$B$4&gt;I204),"Late",IF(AND(H204&lt;&gt;"",Settings!$B$4&gt;H204,K204&lt;&gt;"Shipped"),"Ship overdue",IF(OR(K204="Delayed",AND(I204&lt;&gt;"",I204-Settings!$B$4&lt;=Settings!$B$5,K204&lt;&gt;"Shipped")),"At risk",IF(AND(Q204&lt;&gt;"",Q204&gt;Settings!$B$6),"Stale","On track"))))))</f>
        <v/>
      </c>
      <c r="S204" s="29" t="str">
        <f aca="false">IF(R204="","",IF(R204="Late","Ask for a new ETA and tracking number",IF(R204="Ship overdue","Ask why it hasn't shipped; get a firm ship date",IF(R204="At risk","Confirm the ship date this week",IF(R204="Stale","Request a status update",IF(R204="Closed","-","No action needed"))))))</f>
        <v/>
      </c>
      <c r="T204" s="30" t="str">
        <f aca="false">IF(OR(A204="",N204="",M204=""),"",IF(N204=0,"",M204/N204))</f>
        <v/>
      </c>
      <c r="U204" s="29" t="str">
        <f aca="false">IF(OR(T204="",I204="",R204="Closed"),"",IF(R204="Late","ETA passed: "&amp;ROUND(T204,0)&amp;" days of stock left",IF(Settings!$B$4+T204&lt;I204,"YES: "&amp;ROUND(I204-(Settings!$B$4+T204),0)&amp;" days short","No")))</f>
        <v/>
      </c>
      <c r="V204" s="31" t="str">
        <f aca="false">IF(R204="","",IF(OR(R204="Late",R204="Ship overdue",R204="Stale"),Settings!$B$4,IF(R204="At risk",Settings!$B$4+2,"")))</f>
        <v/>
      </c>
    </row>
  </sheetData>
  <autoFilter ref="A4:V204"/>
  <conditionalFormatting sqref="R5:R204">
    <cfRule type="cellIs" priority="2" operator="equal" aboveAverage="0" equalAverage="0" bottom="0" percent="0" rank="0" text="" dxfId="19">
      <formula>"Late"</formula>
    </cfRule>
    <cfRule type="cellIs" priority="3" operator="equal" aboveAverage="0" equalAverage="0" bottom="0" percent="0" rank="0" text="" dxfId="20">
      <formula>"Ship overdue"</formula>
    </cfRule>
    <cfRule type="cellIs" priority="4" operator="equal" aboveAverage="0" equalAverage="0" bottom="0" percent="0" rank="0" text="" dxfId="21">
      <formula>"At risk"</formula>
    </cfRule>
    <cfRule type="cellIs" priority="5" operator="equal" aboveAverage="0" equalAverage="0" bottom="0" percent="0" rank="0" text="" dxfId="22">
      <formula>"Stale"</formula>
    </cfRule>
    <cfRule type="cellIs" priority="6" operator="equal" aboveAverage="0" equalAverage="0" bottom="0" percent="0" rank="0" text="" dxfId="23">
      <formula>"On track"</formula>
    </cfRule>
    <cfRule type="cellIs" priority="7" operator="equal" aboveAverage="0" equalAverage="0" bottom="0" percent="0" rank="0" text="" dxfId="24">
      <formula>"Closed"</formula>
    </cfRule>
  </conditionalFormatting>
  <conditionalFormatting sqref="U5:U204">
    <cfRule type="expression" priority="8" aboveAverage="0" equalAverage="0" bottom="0" percent="0" rank="0" text="" dxfId="25">
      <formula>LEFT($U5,3)="YES"</formula>
    </cfRule>
  </conditionalFormatting>
  <conditionalFormatting sqref="V5:V204">
    <cfRule type="expression" priority="9" aboveAverage="0" equalAverage="0" bottom="0" percent="0" rank="0" text="" dxfId="25">
      <formula>AND($V5&lt;&gt;"",$V5&lt;=TODAY())</formula>
    </cfRule>
  </conditionalFormatting>
  <dataValidations count="2">
    <dataValidation allowBlank="true" errorStyle="stop" operator="between" showDropDown="false" showErrorMessage="false" showInputMessage="false" sqref="K5:K204" type="list">
      <formula1>"Confirmed,In production,Ready to ship,Shipped,Delayed,Received"</formula1>
      <formula2>0</formula2>
    </dataValidation>
    <dataValidation allowBlank="true" errorStyle="stop" operator="between" showDropDown="false" showErrorMessage="false" showInputMessage="false" sqref="D5:D204" type="list">
      <formula1>"Email,WeChat,WhatsApp,Phone,Other"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4" min="3" style="0" width="16"/>
    <col collapsed="false" customWidth="true" hidden="false" outlineLevel="0" max="5" min="5" style="0" width="50"/>
  </cols>
  <sheetData>
    <row r="2" customFormat="false" ht="22.05" hidden="false" customHeight="false" outlineLevel="0" collapsed="false">
      <c r="B2" s="36" t="s">
        <v>108</v>
      </c>
    </row>
    <row r="3" customFormat="false" ht="15" hidden="false" customHeight="false" outlineLevel="0" collapsed="false">
      <c r="B3" s="12" t="s">
        <v>109</v>
      </c>
      <c r="C3" s="37" t="n">
        <f aca="false">Settings!$B$4</f>
        <v>46302</v>
      </c>
    </row>
    <row r="5" customFormat="false" ht="15" hidden="false" customHeight="false" outlineLevel="0" collapsed="false">
      <c r="B5" s="13" t="s">
        <v>110</v>
      </c>
      <c r="C5" s="13" t="s">
        <v>37</v>
      </c>
      <c r="D5" s="38"/>
      <c r="E5" s="13" t="s">
        <v>111</v>
      </c>
    </row>
    <row r="6" customFormat="false" ht="15" hidden="false" customHeight="false" outlineLevel="0" collapsed="false">
      <c r="B6" s="39" t="s">
        <v>112</v>
      </c>
      <c r="C6" s="40" t="n">
        <f aca="false">COUNTIFS('Open POs'!$A$5:$A$204,"&lt;&gt;",'Open POs'!$R$5:$R$204,"&lt;&gt;Closed")</f>
        <v>10</v>
      </c>
      <c r="D6" s="41"/>
      <c r="E6" s="42" t="s">
        <v>113</v>
      </c>
    </row>
    <row r="7" customFormat="false" ht="15" hidden="false" customHeight="false" outlineLevel="0" collapsed="false">
      <c r="B7" s="39" t="s">
        <v>114</v>
      </c>
      <c r="C7" s="43" t="n">
        <f aca="false">SUMIFS('Open POs'!$L$5:$L$204,'Open POs'!$A$5:$A$204,"&lt;&gt;",'Open POs'!$R$5:$R$204,"&lt;&gt;Closed")</f>
        <v>46050</v>
      </c>
      <c r="D7" s="41"/>
      <c r="E7" s="42" t="s">
        <v>115</v>
      </c>
    </row>
    <row r="8" customFormat="false" ht="15" hidden="false" customHeight="false" outlineLevel="0" collapsed="false">
      <c r="B8" s="39" t="s">
        <v>116</v>
      </c>
      <c r="C8" s="40" t="n">
        <f aca="false">COUNTIF('Open POs'!$R$5:$R$204,"Late")+COUNTIF('Open POs'!$R$5:$R$204,"Ship overdue")</f>
        <v>4</v>
      </c>
      <c r="D8" s="41"/>
      <c r="E8" s="42" t="s">
        <v>117</v>
      </c>
    </row>
    <row r="9" customFormat="false" ht="15" hidden="false" customHeight="false" outlineLevel="0" collapsed="false">
      <c r="B9" s="39" t="s">
        <v>118</v>
      </c>
      <c r="C9" s="43" t="n">
        <f aca="false">SUMIFS('Open POs'!$L$5:$L$204,'Open POs'!$R$5:$R$204,"Late")+SUMIFS('Open POs'!$L$5:$L$204,'Open POs'!$R$5:$R$204,"Ship overdue")</f>
        <v>19600</v>
      </c>
      <c r="D9" s="41"/>
      <c r="E9" s="42" t="s">
        <v>119</v>
      </c>
    </row>
    <row r="10" customFormat="false" ht="15" hidden="false" customHeight="false" outlineLevel="0" collapsed="false">
      <c r="B10" s="39" t="s">
        <v>120</v>
      </c>
      <c r="C10" s="40" t="n">
        <f aca="false">COUNTIF('Open POs'!$R$5:$R$204,"At risk")</f>
        <v>2</v>
      </c>
      <c r="D10" s="41"/>
      <c r="E10" s="42" t="s">
        <v>121</v>
      </c>
    </row>
    <row r="11" customFormat="false" ht="15" hidden="false" customHeight="false" outlineLevel="0" collapsed="false">
      <c r="B11" s="39" t="s">
        <v>122</v>
      </c>
      <c r="C11" s="40" t="n">
        <f aca="false">COUNTIF('Open POs'!$R$5:$R$204,"Stale")</f>
        <v>1</v>
      </c>
      <c r="D11" s="41"/>
      <c r="E11" s="42" t="s">
        <v>123</v>
      </c>
    </row>
    <row r="12" customFormat="false" ht="15" hidden="false" customHeight="false" outlineLevel="0" collapsed="false">
      <c r="B12" s="39" t="s">
        <v>124</v>
      </c>
      <c r="C12" s="40" t="n">
        <f aca="false">COUNTIF('Open POs'!$U$5:$U$204,"YES*")</f>
        <v>3</v>
      </c>
      <c r="D12" s="41"/>
      <c r="E12" s="42" t="s">
        <v>125</v>
      </c>
    </row>
    <row r="13" customFormat="false" ht="15" hidden="false" customHeight="false" outlineLevel="0" collapsed="false">
      <c r="B13" s="39" t="s">
        <v>126</v>
      </c>
      <c r="C13" s="40" t="n">
        <f aca="false">COUNTIFS('Open POs'!$V$5:$V$204,"&lt;="&amp;Settings!$B$4)</f>
        <v>5</v>
      </c>
      <c r="D13" s="41"/>
      <c r="E13" s="42" t="s">
        <v>127</v>
      </c>
    </row>
    <row r="14" customFormat="false" ht="15" hidden="false" customHeight="false" outlineLevel="0" collapsed="false">
      <c r="B14" s="39" t="s">
        <v>128</v>
      </c>
      <c r="C14" s="44" t="n">
        <f aca="false">IFERROR(AVERAGEIF('Open POs'!$R$5:$R$204,"Late",'Open POs'!$P$5:$P$204),0)</f>
        <v>3.5</v>
      </c>
      <c r="D14" s="41"/>
      <c r="E14" s="42" t="s">
        <v>129</v>
      </c>
    </row>
    <row r="15" customFormat="false" ht="15" hidden="false" customHeight="false" outlineLevel="0" collapsed="false">
      <c r="B15" s="39" t="s">
        <v>130</v>
      </c>
      <c r="C15" s="44" t="n">
        <f aca="false">IFERROR(AVERAGEIFS('Open POs'!$Q$5:$Q$204,'Open POs'!$A$5:$A$204,"&lt;&gt;",'Open POs'!$R$5:$R$204,"&lt;&gt;Closed"),0)</f>
        <v>5.7</v>
      </c>
      <c r="D15" s="41"/>
      <c r="E15" s="42" t="s">
        <v>131</v>
      </c>
    </row>
    <row r="17" customFormat="false" ht="15" hidden="false" customHeight="false" outlineLevel="0" collapsed="false">
      <c r="B17" s="13" t="s">
        <v>132</v>
      </c>
      <c r="C17" s="13" t="s">
        <v>133</v>
      </c>
      <c r="D17" s="13" t="s">
        <v>134</v>
      </c>
    </row>
    <row r="18" customFormat="false" ht="15" hidden="false" customHeight="false" outlineLevel="0" collapsed="false">
      <c r="B18" s="45" t="s">
        <v>19</v>
      </c>
      <c r="C18" s="46" t="n">
        <f aca="false">COUNTIF('Open POs'!$R$5:$R$204,B18)</f>
        <v>2</v>
      </c>
      <c r="D18" s="47" t="n">
        <f aca="false">SUMIFS('Open POs'!$L$5:$L$204,'Open POs'!$R$5:$R$204,B18)</f>
        <v>10600</v>
      </c>
    </row>
    <row r="19" customFormat="false" ht="15" hidden="false" customHeight="false" outlineLevel="0" collapsed="false">
      <c r="B19" s="45" t="s">
        <v>21</v>
      </c>
      <c r="C19" s="46" t="n">
        <f aca="false">COUNTIF('Open POs'!$R$5:$R$204,B19)</f>
        <v>2</v>
      </c>
      <c r="D19" s="47" t="n">
        <f aca="false">SUMIFS('Open POs'!$L$5:$L$204,'Open POs'!$R$5:$R$204,B19)</f>
        <v>9000</v>
      </c>
    </row>
    <row r="20" customFormat="false" ht="15" hidden="false" customHeight="false" outlineLevel="0" collapsed="false">
      <c r="B20" s="45" t="s">
        <v>23</v>
      </c>
      <c r="C20" s="46" t="n">
        <f aca="false">COUNTIF('Open POs'!$R$5:$R$204,B20)</f>
        <v>2</v>
      </c>
      <c r="D20" s="47" t="n">
        <f aca="false">SUMIFS('Open POs'!$L$5:$L$204,'Open POs'!$R$5:$R$204,B20)</f>
        <v>12600</v>
      </c>
    </row>
    <row r="21" customFormat="false" ht="15" hidden="false" customHeight="false" outlineLevel="0" collapsed="false">
      <c r="B21" s="45" t="s">
        <v>25</v>
      </c>
      <c r="C21" s="46" t="n">
        <f aca="false">COUNTIF('Open POs'!$R$5:$R$204,B21)</f>
        <v>1</v>
      </c>
      <c r="D21" s="47" t="n">
        <f aca="false">SUMIFS('Open POs'!$L$5:$L$204,'Open POs'!$R$5:$R$204,B21)</f>
        <v>3300</v>
      </c>
    </row>
    <row r="22" customFormat="false" ht="15" hidden="false" customHeight="false" outlineLevel="0" collapsed="false">
      <c r="B22" s="45" t="s">
        <v>27</v>
      </c>
      <c r="C22" s="46" t="n">
        <f aca="false">COUNTIF('Open POs'!$R$5:$R$204,B22)</f>
        <v>3</v>
      </c>
      <c r="D22" s="47" t="n">
        <f aca="false">SUMIFS('Open POs'!$L$5:$L$204,'Open POs'!$R$5:$R$204,B22)</f>
        <v>10550</v>
      </c>
    </row>
    <row r="23" customFormat="false" ht="15" hidden="false" customHeight="false" outlineLevel="0" collapsed="false">
      <c r="B23" s="45" t="s">
        <v>29</v>
      </c>
      <c r="C23" s="46" t="n">
        <f aca="false">COUNTIF('Open POs'!$R$5:$R$204,B23)</f>
        <v>2</v>
      </c>
      <c r="D23" s="47" t="n">
        <f aca="false">SUMIFS('Open POs'!$L$5:$L$204,'Open POs'!$R$5:$R$204,B23)</f>
        <v>6800</v>
      </c>
    </row>
    <row r="25" customFormat="false" ht="15" hidden="false" customHeight="false" outlineLevel="0" collapsed="false">
      <c r="B25" s="48" t="s">
        <v>135</v>
      </c>
    </row>
  </sheetData>
  <conditionalFormatting sqref="C18:C23">
    <cfRule type="dataBar" priority="2">
      <dataBar showValue="1" minLength="10" maxLength="90">
        <cfvo type="num" val="0"/>
        <cfvo type="max" val="0"/>
        <color rgb="FF5B6577"/>
      </dataBar>
      <extLst>
        <ext xmlns:x14="http://schemas.microsoft.com/office/spreadsheetml/2009/9/main" uri="{B025F937-C7B1-47D3-B67F-A62EFF666E3E}">
          <x14:id>{39D32938-408F-4F2A-A52D-F4E495A8B6EB}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9D32938-408F-4F2A-A52D-F4E495A8B6EB}">
            <x14:dataBar minLength="10" maxLength="90" axisPosition="none" gradient="true">
              <x14:cfvo type="num">
                <xm:f>0</xm:f>
              </x14:cfvo>
              <x14:cfvo type="max"/>
              <x14:negativeFillColor rgb="FF5B6577"/>
              <x14:axisColor rgb="FF000000"/>
            </x14:dataBar>
          </x14:cfRule>
          <xm:sqref>C18:C23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"/>
    <col collapsed="false" customWidth="true" hidden="false" outlineLevel="0" max="3" min="3" style="0" width="8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3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4"/>
  </cols>
  <sheetData>
    <row r="1" customFormat="false" ht="19.7" hidden="false" customHeight="false" outlineLevel="0" collapsed="false">
      <c r="A1" s="11" t="s">
        <v>136</v>
      </c>
    </row>
    <row r="2" customFormat="false" ht="15" hidden="false" customHeight="false" outlineLevel="0" collapsed="false">
      <c r="A2" s="18" t="s">
        <v>137</v>
      </c>
    </row>
    <row r="4" customFormat="false" ht="39.75" hidden="false" customHeight="true" outlineLevel="0" collapsed="false">
      <c r="A4" s="49" t="s">
        <v>50</v>
      </c>
      <c r="B4" s="50" t="s">
        <v>138</v>
      </c>
      <c r="C4" s="50" t="s">
        <v>19</v>
      </c>
      <c r="D4" s="50" t="s">
        <v>21</v>
      </c>
      <c r="E4" s="50" t="s">
        <v>23</v>
      </c>
      <c r="F4" s="50" t="s">
        <v>139</v>
      </c>
      <c r="G4" s="50" t="s">
        <v>140</v>
      </c>
      <c r="H4" s="50" t="s">
        <v>141</v>
      </c>
      <c r="I4" s="50" t="s">
        <v>142</v>
      </c>
    </row>
    <row r="5" customFormat="false" ht="15" hidden="false" customHeight="false" outlineLevel="0" collapsed="false">
      <c r="A5" s="23" t="s">
        <v>72</v>
      </c>
      <c r="B5" s="27" t="n">
        <f aca="false">IF($A5="","",COUNTIFS('Open POs'!$B$5:$B$204,$A5,'Open POs'!$R$5:$R$204,"&lt;&gt;Closed"))</f>
        <v>3</v>
      </c>
      <c r="C5" s="27" t="n">
        <f aca="false">IF($A5="","",COUNTIFS('Open POs'!$B$5:$B$204,$A5,'Open POs'!$R$5:$R$204,"Late"))</f>
        <v>1</v>
      </c>
      <c r="D5" s="27" t="n">
        <f aca="false">IF($A5="","",COUNTIFS('Open POs'!$B$5:$B$204,$A5,'Open POs'!$R$5:$R$204,"Ship overdue"))</f>
        <v>1</v>
      </c>
      <c r="E5" s="27" t="n">
        <f aca="false">IF($A5="","",COUNTIFS('Open POs'!$B$5:$B$204,$A5,'Open POs'!$R$5:$R$204,"At risk"))</f>
        <v>0</v>
      </c>
      <c r="F5" s="51" t="n">
        <f aca="false">IF($A5="","",SUMIFS('Open POs'!$L$5:$L$204,'Open POs'!$B$5:$B$204,$A5,'Open POs'!$R$5:$R$204,"&lt;&gt;Closed"))</f>
        <v>13050</v>
      </c>
      <c r="G5" s="30" t="n">
        <f aca="false">IF($A5="","",IFERROR(AVERAGEIFS('Open POs'!$P$5:$P$204,'Open POs'!$B$5:$B$204,$A5,'Open POs'!$R$5:$R$204,"Late"),0))</f>
        <v>5</v>
      </c>
      <c r="H5" s="28" t="n">
        <f aca="false">IF($A5="","",_xlfn.MAXIFS('Open POs'!$Q$5:$Q$204,'Open POs'!$B$5:$B$204,$A5,'Open POs'!$R$5:$R$204,"&lt;&gt;Closed"))</f>
        <v>10</v>
      </c>
      <c r="I5" s="52" t="n">
        <f aca="false">IF($A5="","",IF(B5=0,0,(C5+D5)/B5))</f>
        <v>0.666666666666667</v>
      </c>
    </row>
    <row r="6" customFormat="false" ht="15" hidden="false" customHeight="false" outlineLevel="0" collapsed="false">
      <c r="A6" s="23" t="s">
        <v>77</v>
      </c>
      <c r="B6" s="27" t="n">
        <f aca="false">IF($A6="","",COUNTIFS('Open POs'!$B$5:$B$204,$A6,'Open POs'!$R$5:$R$204,"&lt;&gt;Closed"))</f>
        <v>3</v>
      </c>
      <c r="C6" s="27" t="n">
        <f aca="false">IF($A6="","",COUNTIFS('Open POs'!$B$5:$B$204,$A6,'Open POs'!$R$5:$R$204,"Late"))</f>
        <v>1</v>
      </c>
      <c r="D6" s="27" t="n">
        <f aca="false">IF($A6="","",COUNTIFS('Open POs'!$B$5:$B$204,$A6,'Open POs'!$R$5:$R$204,"Ship overdue"))</f>
        <v>0</v>
      </c>
      <c r="E6" s="27" t="n">
        <f aca="false">IF($A6="","",COUNTIFS('Open POs'!$B$5:$B$204,$A6,'Open POs'!$R$5:$R$204,"At risk"))</f>
        <v>1</v>
      </c>
      <c r="F6" s="51" t="n">
        <f aca="false">IF($A6="","",SUMIFS('Open POs'!$L$5:$L$204,'Open POs'!$B$5:$B$204,$A6,'Open POs'!$R$5:$R$204,"&lt;&gt;Closed"))</f>
        <v>11400</v>
      </c>
      <c r="G6" s="30" t="n">
        <f aca="false">IF($A6="","",IFERROR(AVERAGEIFS('Open POs'!$P$5:$P$204,'Open POs'!$B$5:$B$204,$A6,'Open POs'!$R$5:$R$204,"Late"),0))</f>
        <v>2</v>
      </c>
      <c r="H6" s="28" t="n">
        <f aca="false">IF($A6="","",_xlfn.MAXIFS('Open POs'!$Q$5:$Q$204,'Open POs'!$B$5:$B$204,$A6,'Open POs'!$R$5:$R$204,"&lt;&gt;Closed"))</f>
        <v>12</v>
      </c>
      <c r="I6" s="52" t="n">
        <f aca="false">IF($A6="","",IF(B6=0,0,(C6+D6)/B6))</f>
        <v>0.333333333333333</v>
      </c>
    </row>
    <row r="7" customFormat="false" ht="15" hidden="false" customHeight="false" outlineLevel="0" collapsed="false">
      <c r="A7" s="23" t="s">
        <v>85</v>
      </c>
      <c r="B7" s="27" t="n">
        <f aca="false">IF($A7="","",COUNTIFS('Open POs'!$B$5:$B$204,$A7,'Open POs'!$R$5:$R$204,"&lt;&gt;Closed"))</f>
        <v>2</v>
      </c>
      <c r="C7" s="27" t="n">
        <f aca="false">IF($A7="","",COUNTIFS('Open POs'!$B$5:$B$204,$A7,'Open POs'!$R$5:$R$204,"Late"))</f>
        <v>0</v>
      </c>
      <c r="D7" s="27" t="n">
        <f aca="false">IF($A7="","",COUNTIFS('Open POs'!$B$5:$B$204,$A7,'Open POs'!$R$5:$R$204,"Ship overdue"))</f>
        <v>1</v>
      </c>
      <c r="E7" s="27" t="n">
        <f aca="false">IF($A7="","",COUNTIFS('Open POs'!$B$5:$B$204,$A7,'Open POs'!$R$5:$R$204,"At risk"))</f>
        <v>0</v>
      </c>
      <c r="F7" s="51" t="n">
        <f aca="false">IF($A7="","",SUMIFS('Open POs'!$L$5:$L$204,'Open POs'!$B$5:$B$204,$A7,'Open POs'!$R$5:$R$204,"&lt;&gt;Closed"))</f>
        <v>8400</v>
      </c>
      <c r="G7" s="30" t="n">
        <f aca="false">IF($A7="","",IFERROR(AVERAGEIFS('Open POs'!$P$5:$P$204,'Open POs'!$B$5:$B$204,$A7,'Open POs'!$R$5:$R$204,"Late"),0))</f>
        <v>0</v>
      </c>
      <c r="H7" s="28" t="n">
        <f aca="false">IF($A7="","",_xlfn.MAXIFS('Open POs'!$Q$5:$Q$204,'Open POs'!$B$5:$B$204,$A7,'Open POs'!$R$5:$R$204,"&lt;&gt;Closed"))</f>
        <v>11</v>
      </c>
      <c r="I7" s="52" t="n">
        <f aca="false">IF($A7="","",IF(B7=0,0,(C7+D7)/B7))</f>
        <v>0.5</v>
      </c>
    </row>
    <row r="8" customFormat="false" ht="15" hidden="false" customHeight="false" outlineLevel="0" collapsed="false">
      <c r="A8" s="23" t="s">
        <v>93</v>
      </c>
      <c r="B8" s="27" t="n">
        <f aca="false">IF($A8="","",COUNTIFS('Open POs'!$B$5:$B$204,$A8,'Open POs'!$R$5:$R$204,"&lt;&gt;Closed"))</f>
        <v>2</v>
      </c>
      <c r="C8" s="27" t="n">
        <f aca="false">IF($A8="","",COUNTIFS('Open POs'!$B$5:$B$204,$A8,'Open POs'!$R$5:$R$204,"Late"))</f>
        <v>0</v>
      </c>
      <c r="D8" s="27" t="n">
        <f aca="false">IF($A8="","",COUNTIFS('Open POs'!$B$5:$B$204,$A8,'Open POs'!$R$5:$R$204,"Ship overdue"))</f>
        <v>0</v>
      </c>
      <c r="E8" s="27" t="n">
        <f aca="false">IF($A8="","",COUNTIFS('Open POs'!$B$5:$B$204,$A8,'Open POs'!$R$5:$R$204,"At risk"))</f>
        <v>1</v>
      </c>
      <c r="F8" s="51" t="n">
        <f aca="false">IF($A8="","",SUMIFS('Open POs'!$L$5:$L$204,'Open POs'!$B$5:$B$204,$A8,'Open POs'!$R$5:$R$204,"&lt;&gt;Closed"))</f>
        <v>13200</v>
      </c>
      <c r="G8" s="30" t="n">
        <f aca="false">IF($A8="","",IFERROR(AVERAGEIFS('Open POs'!$P$5:$P$204,'Open POs'!$B$5:$B$204,$A8,'Open POs'!$R$5:$R$204,"Late"),0))</f>
        <v>0</v>
      </c>
      <c r="H8" s="28" t="n">
        <f aca="false">IF($A8="","",_xlfn.MAXIFS('Open POs'!$Q$5:$Q$204,'Open POs'!$B$5:$B$204,$A8,'Open POs'!$R$5:$R$204,"&lt;&gt;Closed"))</f>
        <v>2</v>
      </c>
      <c r="I8" s="52" t="n">
        <f aca="false">IF($A8="","",IF(B8=0,0,(C8+D8)/B8))</f>
        <v>0</v>
      </c>
    </row>
    <row r="9" customFormat="false" ht="15" hidden="false" customHeight="false" outlineLevel="0" collapsed="false">
      <c r="A9" s="23"/>
      <c r="B9" s="27" t="str">
        <f aca="false">IF($A9="","",COUNTIFS('Open POs'!$B$5:$B$204,$A9,'Open POs'!$R$5:$R$204,"&lt;&gt;Closed"))</f>
        <v/>
      </c>
      <c r="C9" s="27" t="str">
        <f aca="false">IF($A9="","",COUNTIFS('Open POs'!$B$5:$B$204,$A9,'Open POs'!$R$5:$R$204,"Late"))</f>
        <v/>
      </c>
      <c r="D9" s="27" t="str">
        <f aca="false">IF($A9="","",COUNTIFS('Open POs'!$B$5:$B$204,$A9,'Open POs'!$R$5:$R$204,"Ship overdue"))</f>
        <v/>
      </c>
      <c r="E9" s="27" t="str">
        <f aca="false">IF($A9="","",COUNTIFS('Open POs'!$B$5:$B$204,$A9,'Open POs'!$R$5:$R$204,"At risk"))</f>
        <v/>
      </c>
      <c r="F9" s="51" t="str">
        <f aca="false">IF($A9="","",SUMIFS('Open POs'!$L$5:$L$204,'Open POs'!$B$5:$B$204,$A9,'Open POs'!$R$5:$R$204,"&lt;&gt;Closed"))</f>
        <v/>
      </c>
      <c r="G9" s="30" t="str">
        <f aca="false">IF($A9="","",IFERROR(AVERAGEIFS('Open POs'!$P$5:$P$204,'Open POs'!$B$5:$B$204,$A9,'Open POs'!$R$5:$R$204,"Late"),0))</f>
        <v/>
      </c>
      <c r="H9" s="28" t="str">
        <f aca="false">IF($A9="","",_xlfn.MAXIFS('Open POs'!$Q$5:$Q$204,'Open POs'!$B$5:$B$204,$A9,'Open POs'!$R$5:$R$204,"&lt;&gt;Closed"))</f>
        <v/>
      </c>
      <c r="I9" s="52" t="str">
        <f aca="false">IF($A9="","",IF(B9=0,0,(C9+D9)/B9))</f>
        <v/>
      </c>
    </row>
    <row r="10" customFormat="false" ht="15" hidden="false" customHeight="false" outlineLevel="0" collapsed="false">
      <c r="A10" s="23"/>
      <c r="B10" s="27" t="str">
        <f aca="false">IF($A10="","",COUNTIFS('Open POs'!$B$5:$B$204,$A10,'Open POs'!$R$5:$R$204,"&lt;&gt;Closed"))</f>
        <v/>
      </c>
      <c r="C10" s="27" t="str">
        <f aca="false">IF($A10="","",COUNTIFS('Open POs'!$B$5:$B$204,$A10,'Open POs'!$R$5:$R$204,"Late"))</f>
        <v/>
      </c>
      <c r="D10" s="27" t="str">
        <f aca="false">IF($A10="","",COUNTIFS('Open POs'!$B$5:$B$204,$A10,'Open POs'!$R$5:$R$204,"Ship overdue"))</f>
        <v/>
      </c>
      <c r="E10" s="27" t="str">
        <f aca="false">IF($A10="","",COUNTIFS('Open POs'!$B$5:$B$204,$A10,'Open POs'!$R$5:$R$204,"At risk"))</f>
        <v/>
      </c>
      <c r="F10" s="51" t="str">
        <f aca="false">IF($A10="","",SUMIFS('Open POs'!$L$5:$L$204,'Open POs'!$B$5:$B$204,$A10,'Open POs'!$R$5:$R$204,"&lt;&gt;Closed"))</f>
        <v/>
      </c>
      <c r="G10" s="30" t="str">
        <f aca="false">IF($A10="","",IFERROR(AVERAGEIFS('Open POs'!$P$5:$P$204,'Open POs'!$B$5:$B$204,$A10,'Open POs'!$R$5:$R$204,"Late"),0))</f>
        <v/>
      </c>
      <c r="H10" s="28" t="str">
        <f aca="false">IF($A10="","",_xlfn.MAXIFS('Open POs'!$Q$5:$Q$204,'Open POs'!$B$5:$B$204,$A10,'Open POs'!$R$5:$R$204,"&lt;&gt;Closed"))</f>
        <v/>
      </c>
      <c r="I10" s="52" t="str">
        <f aca="false">IF($A10="","",IF(B10=0,0,(C10+D10)/B10))</f>
        <v/>
      </c>
    </row>
    <row r="11" customFormat="false" ht="15" hidden="false" customHeight="false" outlineLevel="0" collapsed="false">
      <c r="A11" s="23"/>
      <c r="B11" s="27" t="str">
        <f aca="false">IF($A11="","",COUNTIFS('Open POs'!$B$5:$B$204,$A11,'Open POs'!$R$5:$R$204,"&lt;&gt;Closed"))</f>
        <v/>
      </c>
      <c r="C11" s="27" t="str">
        <f aca="false">IF($A11="","",COUNTIFS('Open POs'!$B$5:$B$204,$A11,'Open POs'!$R$5:$R$204,"Late"))</f>
        <v/>
      </c>
      <c r="D11" s="27" t="str">
        <f aca="false">IF($A11="","",COUNTIFS('Open POs'!$B$5:$B$204,$A11,'Open POs'!$R$5:$R$204,"Ship overdue"))</f>
        <v/>
      </c>
      <c r="E11" s="27" t="str">
        <f aca="false">IF($A11="","",COUNTIFS('Open POs'!$B$5:$B$204,$A11,'Open POs'!$R$5:$R$204,"At risk"))</f>
        <v/>
      </c>
      <c r="F11" s="51" t="str">
        <f aca="false">IF($A11="","",SUMIFS('Open POs'!$L$5:$L$204,'Open POs'!$B$5:$B$204,$A11,'Open POs'!$R$5:$R$204,"&lt;&gt;Closed"))</f>
        <v/>
      </c>
      <c r="G11" s="30" t="str">
        <f aca="false">IF($A11="","",IFERROR(AVERAGEIFS('Open POs'!$P$5:$P$204,'Open POs'!$B$5:$B$204,$A11,'Open POs'!$R$5:$R$204,"Late"),0))</f>
        <v/>
      </c>
      <c r="H11" s="28" t="str">
        <f aca="false">IF($A11="","",_xlfn.MAXIFS('Open POs'!$Q$5:$Q$204,'Open POs'!$B$5:$B$204,$A11,'Open POs'!$R$5:$R$204,"&lt;&gt;Closed"))</f>
        <v/>
      </c>
      <c r="I11" s="52" t="str">
        <f aca="false">IF($A11="","",IF(B11=0,0,(C11+D11)/B11))</f>
        <v/>
      </c>
    </row>
    <row r="12" customFormat="false" ht="15" hidden="false" customHeight="false" outlineLevel="0" collapsed="false">
      <c r="A12" s="23"/>
      <c r="B12" s="27" t="str">
        <f aca="false">IF($A12="","",COUNTIFS('Open POs'!$B$5:$B$204,$A12,'Open POs'!$R$5:$R$204,"&lt;&gt;Closed"))</f>
        <v/>
      </c>
      <c r="C12" s="27" t="str">
        <f aca="false">IF($A12="","",COUNTIFS('Open POs'!$B$5:$B$204,$A12,'Open POs'!$R$5:$R$204,"Late"))</f>
        <v/>
      </c>
      <c r="D12" s="27" t="str">
        <f aca="false">IF($A12="","",COUNTIFS('Open POs'!$B$5:$B$204,$A12,'Open POs'!$R$5:$R$204,"Ship overdue"))</f>
        <v/>
      </c>
      <c r="E12" s="27" t="str">
        <f aca="false">IF($A12="","",COUNTIFS('Open POs'!$B$5:$B$204,$A12,'Open POs'!$R$5:$R$204,"At risk"))</f>
        <v/>
      </c>
      <c r="F12" s="51" t="str">
        <f aca="false">IF($A12="","",SUMIFS('Open POs'!$L$5:$L$204,'Open POs'!$B$5:$B$204,$A12,'Open POs'!$R$5:$R$204,"&lt;&gt;Closed"))</f>
        <v/>
      </c>
      <c r="G12" s="30" t="str">
        <f aca="false">IF($A12="","",IFERROR(AVERAGEIFS('Open POs'!$P$5:$P$204,'Open POs'!$B$5:$B$204,$A12,'Open POs'!$R$5:$R$204,"Late"),0))</f>
        <v/>
      </c>
      <c r="H12" s="28" t="str">
        <f aca="false">IF($A12="","",_xlfn.MAXIFS('Open POs'!$Q$5:$Q$204,'Open POs'!$B$5:$B$204,$A12,'Open POs'!$R$5:$R$204,"&lt;&gt;Closed"))</f>
        <v/>
      </c>
      <c r="I12" s="52" t="str">
        <f aca="false">IF($A12="","",IF(B12=0,0,(C12+D12)/B12))</f>
        <v/>
      </c>
    </row>
    <row r="13" customFormat="false" ht="15" hidden="false" customHeight="false" outlineLevel="0" collapsed="false">
      <c r="A13" s="23"/>
      <c r="B13" s="27" t="str">
        <f aca="false">IF($A13="","",COUNTIFS('Open POs'!$B$5:$B$204,$A13,'Open POs'!$R$5:$R$204,"&lt;&gt;Closed"))</f>
        <v/>
      </c>
      <c r="C13" s="27" t="str">
        <f aca="false">IF($A13="","",COUNTIFS('Open POs'!$B$5:$B$204,$A13,'Open POs'!$R$5:$R$204,"Late"))</f>
        <v/>
      </c>
      <c r="D13" s="27" t="str">
        <f aca="false">IF($A13="","",COUNTIFS('Open POs'!$B$5:$B$204,$A13,'Open POs'!$R$5:$R$204,"Ship overdue"))</f>
        <v/>
      </c>
      <c r="E13" s="27" t="str">
        <f aca="false">IF($A13="","",COUNTIFS('Open POs'!$B$5:$B$204,$A13,'Open POs'!$R$5:$R$204,"At risk"))</f>
        <v/>
      </c>
      <c r="F13" s="51" t="str">
        <f aca="false">IF($A13="","",SUMIFS('Open POs'!$L$5:$L$204,'Open POs'!$B$5:$B$204,$A13,'Open POs'!$R$5:$R$204,"&lt;&gt;Closed"))</f>
        <v/>
      </c>
      <c r="G13" s="30" t="str">
        <f aca="false">IF($A13="","",IFERROR(AVERAGEIFS('Open POs'!$P$5:$P$204,'Open POs'!$B$5:$B$204,$A13,'Open POs'!$R$5:$R$204,"Late"),0))</f>
        <v/>
      </c>
      <c r="H13" s="28" t="str">
        <f aca="false">IF($A13="","",_xlfn.MAXIFS('Open POs'!$Q$5:$Q$204,'Open POs'!$B$5:$B$204,$A13,'Open POs'!$R$5:$R$204,"&lt;&gt;Closed"))</f>
        <v/>
      </c>
      <c r="I13" s="52" t="str">
        <f aca="false">IF($A13="","",IF(B13=0,0,(C13+D13)/B13))</f>
        <v/>
      </c>
    </row>
    <row r="14" customFormat="false" ht="15" hidden="false" customHeight="false" outlineLevel="0" collapsed="false">
      <c r="A14" s="23"/>
      <c r="B14" s="27" t="str">
        <f aca="false">IF($A14="","",COUNTIFS('Open POs'!$B$5:$B$204,$A14,'Open POs'!$R$5:$R$204,"&lt;&gt;Closed"))</f>
        <v/>
      </c>
      <c r="C14" s="27" t="str">
        <f aca="false">IF($A14="","",COUNTIFS('Open POs'!$B$5:$B$204,$A14,'Open POs'!$R$5:$R$204,"Late"))</f>
        <v/>
      </c>
      <c r="D14" s="27" t="str">
        <f aca="false">IF($A14="","",COUNTIFS('Open POs'!$B$5:$B$204,$A14,'Open POs'!$R$5:$R$204,"Ship overdue"))</f>
        <v/>
      </c>
      <c r="E14" s="27" t="str">
        <f aca="false">IF($A14="","",COUNTIFS('Open POs'!$B$5:$B$204,$A14,'Open POs'!$R$5:$R$204,"At risk"))</f>
        <v/>
      </c>
      <c r="F14" s="51" t="str">
        <f aca="false">IF($A14="","",SUMIFS('Open POs'!$L$5:$L$204,'Open POs'!$B$5:$B$204,$A14,'Open POs'!$R$5:$R$204,"&lt;&gt;Closed"))</f>
        <v/>
      </c>
      <c r="G14" s="30" t="str">
        <f aca="false">IF($A14="","",IFERROR(AVERAGEIFS('Open POs'!$P$5:$P$204,'Open POs'!$B$5:$B$204,$A14,'Open POs'!$R$5:$R$204,"Late"),0))</f>
        <v/>
      </c>
      <c r="H14" s="28" t="str">
        <f aca="false">IF($A14="","",_xlfn.MAXIFS('Open POs'!$Q$5:$Q$204,'Open POs'!$B$5:$B$204,$A14,'Open POs'!$R$5:$R$204,"&lt;&gt;Closed"))</f>
        <v/>
      </c>
      <c r="I14" s="52" t="str">
        <f aca="false">IF($A14="","",IF(B14=0,0,(C14+D14)/B14))</f>
        <v/>
      </c>
    </row>
    <row r="15" customFormat="false" ht="15" hidden="false" customHeight="false" outlineLevel="0" collapsed="false">
      <c r="A15" s="23"/>
      <c r="B15" s="27" t="str">
        <f aca="false">IF($A15="","",COUNTIFS('Open POs'!$B$5:$B$204,$A15,'Open POs'!$R$5:$R$204,"&lt;&gt;Closed"))</f>
        <v/>
      </c>
      <c r="C15" s="27" t="str">
        <f aca="false">IF($A15="","",COUNTIFS('Open POs'!$B$5:$B$204,$A15,'Open POs'!$R$5:$R$204,"Late"))</f>
        <v/>
      </c>
      <c r="D15" s="27" t="str">
        <f aca="false">IF($A15="","",COUNTIFS('Open POs'!$B$5:$B$204,$A15,'Open POs'!$R$5:$R$204,"Ship overdue"))</f>
        <v/>
      </c>
      <c r="E15" s="27" t="str">
        <f aca="false">IF($A15="","",COUNTIFS('Open POs'!$B$5:$B$204,$A15,'Open POs'!$R$5:$R$204,"At risk"))</f>
        <v/>
      </c>
      <c r="F15" s="51" t="str">
        <f aca="false">IF($A15="","",SUMIFS('Open POs'!$L$5:$L$204,'Open POs'!$B$5:$B$204,$A15,'Open POs'!$R$5:$R$204,"&lt;&gt;Closed"))</f>
        <v/>
      </c>
      <c r="G15" s="30" t="str">
        <f aca="false">IF($A15="","",IFERROR(AVERAGEIFS('Open POs'!$P$5:$P$204,'Open POs'!$B$5:$B$204,$A15,'Open POs'!$R$5:$R$204,"Late"),0))</f>
        <v/>
      </c>
      <c r="H15" s="28" t="str">
        <f aca="false">IF($A15="","",_xlfn.MAXIFS('Open POs'!$Q$5:$Q$204,'Open POs'!$B$5:$B$204,$A15,'Open POs'!$R$5:$R$204,"&lt;&gt;Closed"))</f>
        <v/>
      </c>
      <c r="I15" s="52" t="str">
        <f aca="false">IF($A15="","",IF(B15=0,0,(C15+D15)/B15))</f>
        <v/>
      </c>
    </row>
    <row r="16" customFormat="false" ht="15" hidden="false" customHeight="false" outlineLevel="0" collapsed="false">
      <c r="A16" s="23"/>
      <c r="B16" s="27" t="str">
        <f aca="false">IF($A16="","",COUNTIFS('Open POs'!$B$5:$B$204,$A16,'Open POs'!$R$5:$R$204,"&lt;&gt;Closed"))</f>
        <v/>
      </c>
      <c r="C16" s="27" t="str">
        <f aca="false">IF($A16="","",COUNTIFS('Open POs'!$B$5:$B$204,$A16,'Open POs'!$R$5:$R$204,"Late"))</f>
        <v/>
      </c>
      <c r="D16" s="27" t="str">
        <f aca="false">IF($A16="","",COUNTIFS('Open POs'!$B$5:$B$204,$A16,'Open POs'!$R$5:$R$204,"Ship overdue"))</f>
        <v/>
      </c>
      <c r="E16" s="27" t="str">
        <f aca="false">IF($A16="","",COUNTIFS('Open POs'!$B$5:$B$204,$A16,'Open POs'!$R$5:$R$204,"At risk"))</f>
        <v/>
      </c>
      <c r="F16" s="51" t="str">
        <f aca="false">IF($A16="","",SUMIFS('Open POs'!$L$5:$L$204,'Open POs'!$B$5:$B$204,$A16,'Open POs'!$R$5:$R$204,"&lt;&gt;Closed"))</f>
        <v/>
      </c>
      <c r="G16" s="30" t="str">
        <f aca="false">IF($A16="","",IFERROR(AVERAGEIFS('Open POs'!$P$5:$P$204,'Open POs'!$B$5:$B$204,$A16,'Open POs'!$R$5:$R$204,"Late"),0))</f>
        <v/>
      </c>
      <c r="H16" s="28" t="str">
        <f aca="false">IF($A16="","",_xlfn.MAXIFS('Open POs'!$Q$5:$Q$204,'Open POs'!$B$5:$B$204,$A16,'Open POs'!$R$5:$R$204,"&lt;&gt;Closed"))</f>
        <v/>
      </c>
      <c r="I16" s="52" t="str">
        <f aca="false">IF($A16="","",IF(B16=0,0,(C16+D16)/B16))</f>
        <v/>
      </c>
    </row>
    <row r="17" customFormat="false" ht="15" hidden="false" customHeight="false" outlineLevel="0" collapsed="false">
      <c r="A17" s="23"/>
      <c r="B17" s="27" t="str">
        <f aca="false">IF($A17="","",COUNTIFS('Open POs'!$B$5:$B$204,$A17,'Open POs'!$R$5:$R$204,"&lt;&gt;Closed"))</f>
        <v/>
      </c>
      <c r="C17" s="27" t="str">
        <f aca="false">IF($A17="","",COUNTIFS('Open POs'!$B$5:$B$204,$A17,'Open POs'!$R$5:$R$204,"Late"))</f>
        <v/>
      </c>
      <c r="D17" s="27" t="str">
        <f aca="false">IF($A17="","",COUNTIFS('Open POs'!$B$5:$B$204,$A17,'Open POs'!$R$5:$R$204,"Ship overdue"))</f>
        <v/>
      </c>
      <c r="E17" s="27" t="str">
        <f aca="false">IF($A17="","",COUNTIFS('Open POs'!$B$5:$B$204,$A17,'Open POs'!$R$5:$R$204,"At risk"))</f>
        <v/>
      </c>
      <c r="F17" s="51" t="str">
        <f aca="false">IF($A17="","",SUMIFS('Open POs'!$L$5:$L$204,'Open POs'!$B$5:$B$204,$A17,'Open POs'!$R$5:$R$204,"&lt;&gt;Closed"))</f>
        <v/>
      </c>
      <c r="G17" s="30" t="str">
        <f aca="false">IF($A17="","",IFERROR(AVERAGEIFS('Open POs'!$P$5:$P$204,'Open POs'!$B$5:$B$204,$A17,'Open POs'!$R$5:$R$204,"Late"),0))</f>
        <v/>
      </c>
      <c r="H17" s="28" t="str">
        <f aca="false">IF($A17="","",_xlfn.MAXIFS('Open POs'!$Q$5:$Q$204,'Open POs'!$B$5:$B$204,$A17,'Open POs'!$R$5:$R$204,"&lt;&gt;Closed"))</f>
        <v/>
      </c>
      <c r="I17" s="52" t="str">
        <f aca="false">IF($A17="","",IF(B17=0,0,(C17+D17)/B17))</f>
        <v/>
      </c>
    </row>
    <row r="18" customFormat="false" ht="15" hidden="false" customHeight="false" outlineLevel="0" collapsed="false">
      <c r="A18" s="23"/>
      <c r="B18" s="27" t="str">
        <f aca="false">IF($A18="","",COUNTIFS('Open POs'!$B$5:$B$204,$A18,'Open POs'!$R$5:$R$204,"&lt;&gt;Closed"))</f>
        <v/>
      </c>
      <c r="C18" s="27" t="str">
        <f aca="false">IF($A18="","",COUNTIFS('Open POs'!$B$5:$B$204,$A18,'Open POs'!$R$5:$R$204,"Late"))</f>
        <v/>
      </c>
      <c r="D18" s="27" t="str">
        <f aca="false">IF($A18="","",COUNTIFS('Open POs'!$B$5:$B$204,$A18,'Open POs'!$R$5:$R$204,"Ship overdue"))</f>
        <v/>
      </c>
      <c r="E18" s="27" t="str">
        <f aca="false">IF($A18="","",COUNTIFS('Open POs'!$B$5:$B$204,$A18,'Open POs'!$R$5:$R$204,"At risk"))</f>
        <v/>
      </c>
      <c r="F18" s="51" t="str">
        <f aca="false">IF($A18="","",SUMIFS('Open POs'!$L$5:$L$204,'Open POs'!$B$5:$B$204,$A18,'Open POs'!$R$5:$R$204,"&lt;&gt;Closed"))</f>
        <v/>
      </c>
      <c r="G18" s="30" t="str">
        <f aca="false">IF($A18="","",IFERROR(AVERAGEIFS('Open POs'!$P$5:$P$204,'Open POs'!$B$5:$B$204,$A18,'Open POs'!$R$5:$R$204,"Late"),0))</f>
        <v/>
      </c>
      <c r="H18" s="28" t="str">
        <f aca="false">IF($A18="","",_xlfn.MAXIFS('Open POs'!$Q$5:$Q$204,'Open POs'!$B$5:$B$204,$A18,'Open POs'!$R$5:$R$204,"&lt;&gt;Closed"))</f>
        <v/>
      </c>
      <c r="I18" s="52" t="str">
        <f aca="false">IF($A18="","",IF(B18=0,0,(C18+D18)/B18))</f>
        <v/>
      </c>
    </row>
    <row r="19" customFormat="false" ht="15" hidden="false" customHeight="false" outlineLevel="0" collapsed="false">
      <c r="A19" s="23"/>
      <c r="B19" s="27" t="str">
        <f aca="false">IF($A19="","",COUNTIFS('Open POs'!$B$5:$B$204,$A19,'Open POs'!$R$5:$R$204,"&lt;&gt;Closed"))</f>
        <v/>
      </c>
      <c r="C19" s="27" t="str">
        <f aca="false">IF($A19="","",COUNTIFS('Open POs'!$B$5:$B$204,$A19,'Open POs'!$R$5:$R$204,"Late"))</f>
        <v/>
      </c>
      <c r="D19" s="27" t="str">
        <f aca="false">IF($A19="","",COUNTIFS('Open POs'!$B$5:$B$204,$A19,'Open POs'!$R$5:$R$204,"Ship overdue"))</f>
        <v/>
      </c>
      <c r="E19" s="27" t="str">
        <f aca="false">IF($A19="","",COUNTIFS('Open POs'!$B$5:$B$204,$A19,'Open POs'!$R$5:$R$204,"At risk"))</f>
        <v/>
      </c>
      <c r="F19" s="51" t="str">
        <f aca="false">IF($A19="","",SUMIFS('Open POs'!$L$5:$L$204,'Open POs'!$B$5:$B$204,$A19,'Open POs'!$R$5:$R$204,"&lt;&gt;Closed"))</f>
        <v/>
      </c>
      <c r="G19" s="30" t="str">
        <f aca="false">IF($A19="","",IFERROR(AVERAGEIFS('Open POs'!$P$5:$P$204,'Open POs'!$B$5:$B$204,$A19,'Open POs'!$R$5:$R$204,"Late"),0))</f>
        <v/>
      </c>
      <c r="H19" s="28" t="str">
        <f aca="false">IF($A19="","",_xlfn.MAXIFS('Open POs'!$Q$5:$Q$204,'Open POs'!$B$5:$B$204,$A19,'Open POs'!$R$5:$R$204,"&lt;&gt;Closed"))</f>
        <v/>
      </c>
      <c r="I19" s="52" t="str">
        <f aca="false">IF($A19="","",IF(B19=0,0,(C19+D19)/B19))</f>
        <v/>
      </c>
    </row>
    <row r="20" customFormat="false" ht="15" hidden="false" customHeight="false" outlineLevel="0" collapsed="false">
      <c r="A20" s="23"/>
      <c r="B20" s="27" t="str">
        <f aca="false">IF($A20="","",COUNTIFS('Open POs'!$B$5:$B$204,$A20,'Open POs'!$R$5:$R$204,"&lt;&gt;Closed"))</f>
        <v/>
      </c>
      <c r="C20" s="27" t="str">
        <f aca="false">IF($A20="","",COUNTIFS('Open POs'!$B$5:$B$204,$A20,'Open POs'!$R$5:$R$204,"Late"))</f>
        <v/>
      </c>
      <c r="D20" s="27" t="str">
        <f aca="false">IF($A20="","",COUNTIFS('Open POs'!$B$5:$B$204,$A20,'Open POs'!$R$5:$R$204,"Ship overdue"))</f>
        <v/>
      </c>
      <c r="E20" s="27" t="str">
        <f aca="false">IF($A20="","",COUNTIFS('Open POs'!$B$5:$B$204,$A20,'Open POs'!$R$5:$R$204,"At risk"))</f>
        <v/>
      </c>
      <c r="F20" s="51" t="str">
        <f aca="false">IF($A20="","",SUMIFS('Open POs'!$L$5:$L$204,'Open POs'!$B$5:$B$204,$A20,'Open POs'!$R$5:$R$204,"&lt;&gt;Closed"))</f>
        <v/>
      </c>
      <c r="G20" s="30" t="str">
        <f aca="false">IF($A20="","",IFERROR(AVERAGEIFS('Open POs'!$P$5:$P$204,'Open POs'!$B$5:$B$204,$A20,'Open POs'!$R$5:$R$204,"Late"),0))</f>
        <v/>
      </c>
      <c r="H20" s="28" t="str">
        <f aca="false">IF($A20="","",_xlfn.MAXIFS('Open POs'!$Q$5:$Q$204,'Open POs'!$B$5:$B$204,$A20,'Open POs'!$R$5:$R$204,"&lt;&gt;Closed"))</f>
        <v/>
      </c>
      <c r="I20" s="52" t="str">
        <f aca="false">IF($A20="","",IF(B20=0,0,(C20+D20)/B20))</f>
        <v/>
      </c>
    </row>
    <row r="21" customFormat="false" ht="15" hidden="false" customHeight="false" outlineLevel="0" collapsed="false">
      <c r="A21" s="23"/>
      <c r="B21" s="27" t="str">
        <f aca="false">IF($A21="","",COUNTIFS('Open POs'!$B$5:$B$204,$A21,'Open POs'!$R$5:$R$204,"&lt;&gt;Closed"))</f>
        <v/>
      </c>
      <c r="C21" s="27" t="str">
        <f aca="false">IF($A21="","",COUNTIFS('Open POs'!$B$5:$B$204,$A21,'Open POs'!$R$5:$R$204,"Late"))</f>
        <v/>
      </c>
      <c r="D21" s="27" t="str">
        <f aca="false">IF($A21="","",COUNTIFS('Open POs'!$B$5:$B$204,$A21,'Open POs'!$R$5:$R$204,"Ship overdue"))</f>
        <v/>
      </c>
      <c r="E21" s="27" t="str">
        <f aca="false">IF($A21="","",COUNTIFS('Open POs'!$B$5:$B$204,$A21,'Open POs'!$R$5:$R$204,"At risk"))</f>
        <v/>
      </c>
      <c r="F21" s="51" t="str">
        <f aca="false">IF($A21="","",SUMIFS('Open POs'!$L$5:$L$204,'Open POs'!$B$5:$B$204,$A21,'Open POs'!$R$5:$R$204,"&lt;&gt;Closed"))</f>
        <v/>
      </c>
      <c r="G21" s="30" t="str">
        <f aca="false">IF($A21="","",IFERROR(AVERAGEIFS('Open POs'!$P$5:$P$204,'Open POs'!$B$5:$B$204,$A21,'Open POs'!$R$5:$R$204,"Late"),0))</f>
        <v/>
      </c>
      <c r="H21" s="28" t="str">
        <f aca="false">IF($A21="","",_xlfn.MAXIFS('Open POs'!$Q$5:$Q$204,'Open POs'!$B$5:$B$204,$A21,'Open POs'!$R$5:$R$204,"&lt;&gt;Closed"))</f>
        <v/>
      </c>
      <c r="I21" s="52" t="str">
        <f aca="false">IF($A21="","",IF(B21=0,0,(C21+D21)/B21))</f>
        <v/>
      </c>
    </row>
    <row r="22" customFormat="false" ht="15" hidden="false" customHeight="false" outlineLevel="0" collapsed="false">
      <c r="A22" s="23"/>
      <c r="B22" s="27" t="str">
        <f aca="false">IF($A22="","",COUNTIFS('Open POs'!$B$5:$B$204,$A22,'Open POs'!$R$5:$R$204,"&lt;&gt;Closed"))</f>
        <v/>
      </c>
      <c r="C22" s="27" t="str">
        <f aca="false">IF($A22="","",COUNTIFS('Open POs'!$B$5:$B$204,$A22,'Open POs'!$R$5:$R$204,"Late"))</f>
        <v/>
      </c>
      <c r="D22" s="27" t="str">
        <f aca="false">IF($A22="","",COUNTIFS('Open POs'!$B$5:$B$204,$A22,'Open POs'!$R$5:$R$204,"Ship overdue"))</f>
        <v/>
      </c>
      <c r="E22" s="27" t="str">
        <f aca="false">IF($A22="","",COUNTIFS('Open POs'!$B$5:$B$204,$A22,'Open POs'!$R$5:$R$204,"At risk"))</f>
        <v/>
      </c>
      <c r="F22" s="51" t="str">
        <f aca="false">IF($A22="","",SUMIFS('Open POs'!$L$5:$L$204,'Open POs'!$B$5:$B$204,$A22,'Open POs'!$R$5:$R$204,"&lt;&gt;Closed"))</f>
        <v/>
      </c>
      <c r="G22" s="30" t="str">
        <f aca="false">IF($A22="","",IFERROR(AVERAGEIFS('Open POs'!$P$5:$P$204,'Open POs'!$B$5:$B$204,$A22,'Open POs'!$R$5:$R$204,"Late"),0))</f>
        <v/>
      </c>
      <c r="H22" s="28" t="str">
        <f aca="false">IF($A22="","",_xlfn.MAXIFS('Open POs'!$Q$5:$Q$204,'Open POs'!$B$5:$B$204,$A22,'Open POs'!$R$5:$R$204,"&lt;&gt;Closed"))</f>
        <v/>
      </c>
      <c r="I22" s="52" t="str">
        <f aca="false">IF($A22="","",IF(B22=0,0,(C22+D22)/B22))</f>
        <v/>
      </c>
    </row>
    <row r="23" customFormat="false" ht="15" hidden="false" customHeight="false" outlineLevel="0" collapsed="false">
      <c r="A23" s="23"/>
      <c r="B23" s="27" t="str">
        <f aca="false">IF($A23="","",COUNTIFS('Open POs'!$B$5:$B$204,$A23,'Open POs'!$R$5:$R$204,"&lt;&gt;Closed"))</f>
        <v/>
      </c>
      <c r="C23" s="27" t="str">
        <f aca="false">IF($A23="","",COUNTIFS('Open POs'!$B$5:$B$204,$A23,'Open POs'!$R$5:$R$204,"Late"))</f>
        <v/>
      </c>
      <c r="D23" s="27" t="str">
        <f aca="false">IF($A23="","",COUNTIFS('Open POs'!$B$5:$B$204,$A23,'Open POs'!$R$5:$R$204,"Ship overdue"))</f>
        <v/>
      </c>
      <c r="E23" s="27" t="str">
        <f aca="false">IF($A23="","",COUNTIFS('Open POs'!$B$5:$B$204,$A23,'Open POs'!$R$5:$R$204,"At risk"))</f>
        <v/>
      </c>
      <c r="F23" s="51" t="str">
        <f aca="false">IF($A23="","",SUMIFS('Open POs'!$L$5:$L$204,'Open POs'!$B$5:$B$204,$A23,'Open POs'!$R$5:$R$204,"&lt;&gt;Closed"))</f>
        <v/>
      </c>
      <c r="G23" s="30" t="str">
        <f aca="false">IF($A23="","",IFERROR(AVERAGEIFS('Open POs'!$P$5:$P$204,'Open POs'!$B$5:$B$204,$A23,'Open POs'!$R$5:$R$204,"Late"),0))</f>
        <v/>
      </c>
      <c r="H23" s="28" t="str">
        <f aca="false">IF($A23="","",_xlfn.MAXIFS('Open POs'!$Q$5:$Q$204,'Open POs'!$B$5:$B$204,$A23,'Open POs'!$R$5:$R$204,"&lt;&gt;Closed"))</f>
        <v/>
      </c>
      <c r="I23" s="52" t="str">
        <f aca="false">IF($A23="","",IF(B23=0,0,(C23+D23)/B23))</f>
        <v/>
      </c>
    </row>
    <row r="24" customFormat="false" ht="15" hidden="false" customHeight="false" outlineLevel="0" collapsed="false">
      <c r="A24" s="23"/>
      <c r="B24" s="27" t="str">
        <f aca="false">IF($A24="","",COUNTIFS('Open POs'!$B$5:$B$204,$A24,'Open POs'!$R$5:$R$204,"&lt;&gt;Closed"))</f>
        <v/>
      </c>
      <c r="C24" s="27" t="str">
        <f aca="false">IF($A24="","",COUNTIFS('Open POs'!$B$5:$B$204,$A24,'Open POs'!$R$5:$R$204,"Late"))</f>
        <v/>
      </c>
      <c r="D24" s="27" t="str">
        <f aca="false">IF($A24="","",COUNTIFS('Open POs'!$B$5:$B$204,$A24,'Open POs'!$R$5:$R$204,"Ship overdue"))</f>
        <v/>
      </c>
      <c r="E24" s="27" t="str">
        <f aca="false">IF($A24="","",COUNTIFS('Open POs'!$B$5:$B$204,$A24,'Open POs'!$R$5:$R$204,"At risk"))</f>
        <v/>
      </c>
      <c r="F24" s="51" t="str">
        <f aca="false">IF($A24="","",SUMIFS('Open POs'!$L$5:$L$204,'Open POs'!$B$5:$B$204,$A24,'Open POs'!$R$5:$R$204,"&lt;&gt;Closed"))</f>
        <v/>
      </c>
      <c r="G24" s="30" t="str">
        <f aca="false">IF($A24="","",IFERROR(AVERAGEIFS('Open POs'!$P$5:$P$204,'Open POs'!$B$5:$B$204,$A24,'Open POs'!$R$5:$R$204,"Late"),0))</f>
        <v/>
      </c>
      <c r="H24" s="28" t="str">
        <f aca="false">IF($A24="","",_xlfn.MAXIFS('Open POs'!$Q$5:$Q$204,'Open POs'!$B$5:$B$204,$A24,'Open POs'!$R$5:$R$204,"&lt;&gt;Closed"))</f>
        <v/>
      </c>
      <c r="I24" s="52" t="str">
        <f aca="false">IF($A24="","",IF(B24=0,0,(C24+D24)/B24))</f>
        <v/>
      </c>
    </row>
  </sheetData>
  <conditionalFormatting sqref="I5:I24">
    <cfRule type="cellIs" priority="2" operator="greaterThanOrEqual" aboveAverage="0" equalAverage="0" bottom="0" percent="0" rank="0" text="" dxfId="25">
      <formula>0.5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62"/>
    <col collapsed="false" customWidth="true" hidden="false" outlineLevel="0" max="3" min="3" style="0" width="52"/>
  </cols>
  <sheetData>
    <row r="1" customFormat="false" ht="19.7" hidden="false" customHeight="false" outlineLevel="0" collapsed="false">
      <c r="A1" s="11" t="s">
        <v>143</v>
      </c>
    </row>
    <row r="2" customFormat="false" ht="15" hidden="false" customHeight="false" outlineLevel="0" collapsed="false">
      <c r="A2" s="18" t="s">
        <v>144</v>
      </c>
    </row>
    <row r="4" customFormat="false" ht="15" hidden="false" customHeight="false" outlineLevel="0" collapsed="false">
      <c r="A4" s="13" t="s">
        <v>145</v>
      </c>
      <c r="B4" s="13" t="s">
        <v>146</v>
      </c>
      <c r="C4" s="13" t="s">
        <v>147</v>
      </c>
    </row>
    <row r="5" customFormat="false" ht="61.5" hidden="false" customHeight="true" outlineLevel="0" collapsed="false">
      <c r="A5" s="4" t="s">
        <v>25</v>
      </c>
      <c r="B5" s="53" t="s">
        <v>148</v>
      </c>
      <c r="C5" s="54" t="s">
        <v>149</v>
      </c>
    </row>
    <row r="6" customFormat="false" ht="61.5" hidden="false" customHeight="true" outlineLevel="0" collapsed="false">
      <c r="A6" s="4" t="s">
        <v>23</v>
      </c>
      <c r="B6" s="53" t="s">
        <v>150</v>
      </c>
      <c r="C6" s="54" t="s">
        <v>151</v>
      </c>
    </row>
    <row r="7" customFormat="false" ht="61.5" hidden="false" customHeight="true" outlineLevel="0" collapsed="false">
      <c r="A7" s="4" t="s">
        <v>21</v>
      </c>
      <c r="B7" s="53" t="s">
        <v>152</v>
      </c>
      <c r="C7" s="54" t="s">
        <v>153</v>
      </c>
    </row>
    <row r="8" customFormat="false" ht="61.5" hidden="false" customHeight="true" outlineLevel="0" collapsed="false">
      <c r="A8" s="4" t="s">
        <v>19</v>
      </c>
      <c r="B8" s="53" t="s">
        <v>154</v>
      </c>
      <c r="C8" s="54" t="s">
        <v>155</v>
      </c>
    </row>
    <row r="10" customFormat="false" ht="27.75" hidden="false" customHeight="true" outlineLevel="0" collapsed="false">
      <c r="A10" s="4" t="s">
        <v>156</v>
      </c>
      <c r="B10" s="55" t="s">
        <v>157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2026-10-07T11:54:15Z</dcterms:created>
  <dc:creator>openpyxl</dc:creator>
  <dc:description/>
  <dc:language>en-US</dc:language>
  <cp:lastModifiedBy/>
  <dcterms:modified xsi:type="dcterms:W3CDTF">2026-10-07T11:54:15Z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